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zxX68lslyioJUIUA6xmjrZqoLX1q8EnhDerfpn+mCHJP0Ik0zNrL8k0YqjegmUCoDPKPMtLvqtHs96d4moqfQ==" workbookSaltValue="2qFNo3JBaGkW71+ScA10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F14" i="7"/>
  <c r="H28" i="2"/>
  <c r="BG17" i="13"/>
  <c r="R8" i="9"/>
  <c r="BH30" i="16" s="1"/>
  <c r="S13" i="17"/>
  <c r="S12" i="14"/>
  <c r="V12" i="14" s="1"/>
  <c r="S17" i="14"/>
  <c r="V17" i="14" s="1"/>
  <c r="R10" i="14"/>
  <c r="R17" i="14"/>
  <c r="R29" i="14"/>
  <c r="T21" i="11"/>
  <c r="T29" i="11"/>
  <c r="S9" i="14"/>
  <c r="V9" i="14" s="1"/>
  <c r="T20" i="11"/>
  <c r="X25" i="17"/>
  <c r="AA29" i="16"/>
  <c r="X22" i="17"/>
  <c r="X10" i="17"/>
  <c r="X16" i="17"/>
  <c r="X11" i="17"/>
  <c r="X18" i="20"/>
  <c r="X20" i="20"/>
  <c r="V16"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V19" i="16"/>
  <c r="AA12" i="21"/>
  <c r="X19" i="20"/>
  <c r="T18" i="20"/>
  <c r="X9" i="17"/>
  <c r="AA18" i="16"/>
  <c r="X13" i="17"/>
  <c r="AA17" i="16"/>
  <c r="AA28" i="16"/>
  <c r="T18" i="11"/>
  <c r="S16" i="14"/>
  <c r="V16" i="14" s="1"/>
  <c r="T11" i="11"/>
  <c r="T25" i="11"/>
  <c r="T13" i="11"/>
  <c r="R19" i="14"/>
  <c r="R12" i="14"/>
  <c r="S29" i="14"/>
  <c r="V29" i="14" s="1"/>
  <c r="S19" i="14"/>
  <c r="V19" i="14" s="1"/>
  <c r="R13" i="14"/>
  <c r="S11" i="14"/>
  <c r="V11" i="14" s="1"/>
  <c r="V13" i="16"/>
  <c r="T12" i="11"/>
  <c r="R11" i="14"/>
  <c r="S21" i="14"/>
  <c r="V21"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AP16" i="20"/>
  <c r="AO28" i="17"/>
  <c r="BU16" i="17"/>
  <c r="BV18" i="16"/>
  <c r="BU10" i="17"/>
  <c r="BW12" i="20"/>
  <c r="BW16" i="20"/>
  <c r="BW29" i="20"/>
  <c r="BU18" i="17"/>
  <c r="BW21" i="20"/>
  <c r="AZ17" i="11"/>
  <c r="BH10" i="11"/>
  <c r="BL28" i="11"/>
  <c r="BL10" i="11"/>
  <c r="BH10" i="16"/>
  <c r="BM21" i="11"/>
  <c r="BK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J22" i="11"/>
  <c r="BJ18" i="11"/>
  <c r="BG10" i="11"/>
  <c r="BM17" i="11"/>
  <c r="V11" i="16"/>
  <c r="BF21" i="11"/>
  <c r="V25" i="11"/>
  <c r="BF17" i="11"/>
  <c r="BF10" i="11"/>
  <c r="BL12" i="11"/>
  <c r="BK21" i="11"/>
  <c r="V11" i="11"/>
  <c r="BI25" i="11"/>
  <c r="BM12" i="11"/>
  <c r="V13" i="11"/>
  <c r="V9" i="11"/>
  <c r="BI19" i="11"/>
  <c r="BJ16" i="11"/>
  <c r="AP22" i="20"/>
  <c r="BG16" i="11"/>
  <c r="R25" i="14"/>
  <c r="BH13" i="11"/>
  <c r="V20" i="11"/>
  <c r="BL13" i="11"/>
  <c r="BL25" i="11"/>
  <c r="Q25" i="11" s="1"/>
  <c r="BH18" i="11"/>
  <c r="BG19" i="11"/>
  <c r="BM16" i="11"/>
  <c r="AZ9" i="11"/>
  <c r="BL29" i="11"/>
  <c r="BJ25" i="11"/>
  <c r="T16" i="16"/>
  <c r="AZ16" i="11"/>
  <c r="AZ23" i="11" s="1"/>
  <c r="AZ26" i="11" s="1"/>
  <c r="BW20" i="20"/>
  <c r="BV19" i="16"/>
  <c r="BW19" i="20"/>
  <c r="X20" i="16"/>
  <c r="BW18" i="20"/>
  <c r="BV12" i="16"/>
  <c r="BW25" i="20"/>
  <c r="BU22" i="17"/>
  <c r="BV16" i="16"/>
  <c r="U13" i="17"/>
  <c r="BU20" i="17"/>
  <c r="U10" i="17"/>
  <c r="BV10" i="16"/>
  <c r="BW22" i="20"/>
  <c r="BV29" i="16"/>
  <c r="V12" i="16"/>
  <c r="BU12" i="17"/>
  <c r="BV9" i="16"/>
  <c r="S28" i="17"/>
  <c r="T16" i="11"/>
  <c r="BG12" i="11"/>
  <c r="Q18" i="17"/>
  <c r="Q23" i="17" s="1"/>
  <c r="Q31" i="17" s="1"/>
  <c r="BI20" i="11"/>
  <c r="BI9" i="11"/>
  <c r="AQ10" i="21"/>
  <c r="AO29" i="17"/>
  <c r="S10" i="17"/>
  <c r="BI29" i="11"/>
  <c r="BH11" i="11"/>
  <c r="BG17" i="11"/>
  <c r="P17" i="11" s="1"/>
  <c r="S18" i="17"/>
  <c r="BM9" i="11"/>
  <c r="AO25" i="17"/>
  <c r="BH12" i="16"/>
  <c r="BJ17" i="11"/>
  <c r="S16" i="17"/>
  <c r="BL17" i="11"/>
  <c r="BH22" i="11"/>
  <c r="BH23" i="11" s="1"/>
  <c r="X12" i="17"/>
  <c r="X22" i="16"/>
  <c r="L12" i="2"/>
  <c r="X10" i="21"/>
  <c r="L20" i="2"/>
  <c r="V10" i="16"/>
  <c r="V9" i="16"/>
  <c r="X13" i="16"/>
  <c r="L22" i="2"/>
  <c r="S17" i="17"/>
  <c r="X19" i="16"/>
  <c r="U9" i="17"/>
  <c r="U31" i="17" s="1"/>
  <c r="T28" i="11"/>
  <c r="T19" i="11"/>
  <c r="R28" i="14"/>
  <c r="R18" i="14"/>
  <c r="S28" i="14"/>
  <c r="V28" i="14" s="1"/>
  <c r="S13" i="14"/>
  <c r="V13"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L31" i="21"/>
  <c r="AA31" i="11"/>
  <c r="E31" i="2"/>
  <c r="AZ31" i="11"/>
  <c r="AZ14" i="11"/>
  <c r="U14" i="17"/>
  <c r="P25"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<sst xmlns="http://schemas.openxmlformats.org/spreadsheetml/2006/main" count="2682" uniqueCount="1193">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</sst>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mk9g3wi2UqYWg75poCgQOmrTykcohkz1nZcfFEozEWY5Q3HSoAAjCoG2FpEXXxIecm6E7NK/fvqq4xOvrKuMw==" saltValue="ovi6vyNMQX0w9WLThj08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31.272030651340998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446</v>
      </c>
      <c r="D17" s="239">
        <f>IF(ISNUMBER(IF(D_I="SI",Datos!I17,Datos!I17+Datos!AC17)),IF(D_I="SI",Datos!I17,Datos!I17+Datos!AC17)," - ")</f>
        <v>440</v>
      </c>
      <c r="E17" s="240">
        <f>IF(ISNUMBER(IF(D_I="SI",Datos!J17,Datos!J17+Datos!AD17)),IF(D_I="SI",Datos!J17,Datos!J17+Datos!AD17)," - ")</f>
        <v>235</v>
      </c>
      <c r="F17" s="240">
        <f>IF(ISNUMBER(IF(D_I="SI",Datos!K17,Datos!K17+Datos!AE17)),IF(D_I="SI",Datos!K17,Datos!K17+Datos!AE17)," - ")</f>
        <v>271</v>
      </c>
      <c r="G17" s="1390" t="str">
        <f>IF(Datos!E17&lt;&gt;"",Datos!E17,Datos!D17)</f>
        <v>04</v>
      </c>
      <c r="H17" s="241">
        <f>IF(ISNUMBER(IF(D_I="SI",Datos!L17,Datos!L17+Datos!AF17)),IF(D_I="SI",Datos!L17,Datos!L17+Datos!AF17)," - ")</f>
        <v>410</v>
      </c>
      <c r="I17" s="1400" t="str">
        <f>IF(ISNUMBER(Datos!AS17/Datos!BM17),Datos!AS17/Datos!BM17," - ")</f>
        <v xml:space="preserve"> - </v>
      </c>
      <c r="J17" s="1401">
        <f>IF(ISNUMBER(Datos!BY17/Datos!CN17),Datos!BY17/Datos!CN17," - ")</f>
        <v>0</v>
      </c>
      <c r="K17" s="244">
        <f t="shared" si="3"/>
        <v>-8.0717488789237665E-2</v>
      </c>
      <c r="L17" s="1402">
        <f>IF(ISNUMBER(NºAsuntos!I17/NºAsuntos!G17),(NºAsuntos!I17/NºAsuntos!G17)*11," - ")</f>
        <v>16.642066420664207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73</v>
      </c>
      <c r="D18" s="239">
        <f>IF(ISNUMBER(IF(D_I="SI",Datos!I18,Datos!I18+Datos!AC18)),IF(D_I="SI",Datos!I18,Datos!I18+Datos!AC18)," - ")</f>
        <v>75</v>
      </c>
      <c r="E18" s="240">
        <f>IF(ISNUMBER(IF(D_I="SI",Datos!J18,Datos!J18+Datos!AD18)),IF(D_I="SI",Datos!J18,Datos!J18+Datos!AD18)," - ")</f>
        <v>30</v>
      </c>
      <c r="F18" s="240">
        <f>IF(ISNUMBER(IF(D_I="SI",Datos!K18,Datos!K18+Datos!AE18)),IF(D_I="SI",Datos!K18,Datos!K18+Datos!AE18)," - ")</f>
        <v>49</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-0.26027397260273971</v>
      </c>
      <c r="L18" s="1402">
        <f>IF(ISNUMBER(NºAsuntos!I18/NºAsuntos!G18),(NºAsuntos!I18/NºAsuntos!G18)*11," - ")</f>
        <v>12.122448979591836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519</v>
      </c>
      <c r="D23" s="1407">
        <f>SUBTOTAL(9,D16:D22)</f>
        <v>515</v>
      </c>
      <c r="E23" s="1408">
        <f>SUBTOTAL(9,E16:E22)</f>
        <v>265</v>
      </c>
      <c r="F23" s="1408">
        <f>SUBTOTAL(9,F16:F22)</f>
        <v>320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522</v>
      </c>
      <c r="D31" s="1435">
        <f>SUBTOTAL(9,D9:D30)</f>
        <v>518</v>
      </c>
      <c r="E31" s="1436">
        <f>SUBTOTAL(9,E9:E30)</f>
        <v>266</v>
      </c>
      <c r="F31" s="1436">
        <f>SUBTOTAL(9,F9:F30)</f>
        <v>320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yHU5LymFp7xJEDt73oQUy2QyVWxMZMYx8QEhhPGNosV0AbvFT2fH1kDGrvUBuUyvTgsFTaV5O/ntB9PAxezig==" saltValue="7wkvZXCOSmhyB6fTgPsp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ZZgHV4GNpMjr4Mh9ntUqSTT9rpgWG+mQvfh7UzTvqg8s/+iLJPn456HRGe4vmyBKKtszdt0dx6LES3VulSDdA==" saltValue="TZ5cuuK/2/cJfSK+9yFt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1</v>
      </c>
      <c r="S10" s="194">
        <v>9</v>
      </c>
      <c r="T10" s="194">
        <v>1</v>
      </c>
      <c r="U10" s="194">
        <v>2</v>
      </c>
      <c r="V10" s="194">
        <v>8</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2</v>
      </c>
      <c r="BB10" s="139">
        <f t="shared" si="0"/>
        <v>8</v>
      </c>
      <c r="BC10" s="135">
        <f t="shared" si="0"/>
        <v>1</v>
      </c>
      <c r="BD10" s="136">
        <f>IF(ISNUMBER(BA10/AZ10),BA10/AZ10," - ")</f>
        <v>2</v>
      </c>
      <c r="BE10" s="137">
        <f>IF(ISNUMBER(BB10/BA10),BB10/BA10, " - ")</f>
        <v>4</v>
      </c>
      <c r="BF10" s="137">
        <f>IF(ISNUMBER(BC10/BA10),BC10/BA10, " - ")</f>
        <v>0.5</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750</v>
      </c>
      <c r="J12" s="196">
        <v>188</v>
      </c>
      <c r="K12" s="196">
        <v>224</v>
      </c>
      <c r="L12" s="196">
        <v>714</v>
      </c>
      <c r="M12" s="196">
        <v>60</v>
      </c>
      <c r="N12" s="196">
        <v>115</v>
      </c>
      <c r="O12" s="194">
        <v>76</v>
      </c>
      <c r="P12" s="196">
        <v>42</v>
      </c>
      <c r="Q12" s="196">
        <v>55</v>
      </c>
      <c r="R12" s="196">
        <v>925</v>
      </c>
      <c r="S12" s="196">
        <v>645</v>
      </c>
      <c r="T12" s="196">
        <v>172</v>
      </c>
      <c r="U12" s="196">
        <v>161</v>
      </c>
      <c r="V12" s="196">
        <v>656</v>
      </c>
      <c r="W12" s="196">
        <v>41</v>
      </c>
      <c r="X12" s="202">
        <v>101</v>
      </c>
      <c r="Y12" s="204">
        <v>32</v>
      </c>
      <c r="Z12" s="194">
        <v>33</v>
      </c>
      <c r="AA12" s="194">
        <v>37</v>
      </c>
      <c r="AB12" s="194">
        <v>28</v>
      </c>
      <c r="AC12" s="196">
        <v>0</v>
      </c>
      <c r="AD12" s="196">
        <v>0</v>
      </c>
      <c r="AE12" s="196">
        <v>0</v>
      </c>
      <c r="AF12" s="202">
        <v>0</v>
      </c>
      <c r="AG12" s="215">
        <v>126</v>
      </c>
      <c r="AH12" s="196">
        <v>29</v>
      </c>
      <c r="AI12" s="196">
        <v>34</v>
      </c>
      <c r="AJ12" s="216">
        <v>121</v>
      </c>
      <c r="AK12" s="195">
        <v>0</v>
      </c>
      <c r="AL12" s="196">
        <v>0</v>
      </c>
      <c r="AM12" s="196">
        <v>0</v>
      </c>
      <c r="AN12" s="202">
        <v>0</v>
      </c>
      <c r="AO12" s="283">
        <v>2</v>
      </c>
      <c r="AP12" s="168">
        <v>2</v>
      </c>
      <c r="AQ12" s="168">
        <v>2</v>
      </c>
      <c r="AR12" s="167">
        <v>2</v>
      </c>
      <c r="AS12" s="381" t="s">
        <v>1075</v>
      </c>
      <c r="AT12" s="216"/>
      <c r="AU12" s="215"/>
      <c r="AV12" s="216"/>
      <c r="AW12" s="215"/>
      <c r="AX12" s="216"/>
      <c r="AY12" s="136">
        <f t="shared" si="1"/>
        <v>771</v>
      </c>
      <c r="AZ12" s="137">
        <f t="shared" si="1"/>
        <v>201</v>
      </c>
      <c r="BA12" s="137">
        <f t="shared" si="1"/>
        <v>195</v>
      </c>
      <c r="BB12" s="137">
        <f t="shared" si="1"/>
        <v>777</v>
      </c>
      <c r="BC12" s="135">
        <f>IF(ISNUMBER(X12),X12," - ")</f>
        <v>101</v>
      </c>
      <c r="BD12" s="136">
        <f t="shared" si="2"/>
        <v>0.97014925373134331</v>
      </c>
      <c r="BE12" s="137">
        <f t="shared" si="3"/>
        <v>3.9846153846153847</v>
      </c>
      <c r="BF12" s="137">
        <f t="shared" si="4"/>
        <v>0.517948717948718</v>
      </c>
      <c r="BG12" s="209">
        <f t="shared" si="5"/>
        <v>4.9846153846153847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753</v>
      </c>
      <c r="J14" s="197">
        <f t="shared" si="7"/>
        <v>189</v>
      </c>
      <c r="K14" s="197">
        <f t="shared" si="7"/>
        <v>224</v>
      </c>
      <c r="L14" s="197">
        <f t="shared" si="7"/>
        <v>718</v>
      </c>
      <c r="M14" s="197">
        <f t="shared" si="7"/>
        <v>60</v>
      </c>
      <c r="N14" s="197">
        <f t="shared" si="7"/>
        <v>115</v>
      </c>
      <c r="O14" s="197">
        <f t="shared" si="7"/>
        <v>76</v>
      </c>
      <c r="P14" s="197">
        <f t="shared" si="7"/>
        <v>42</v>
      </c>
      <c r="Q14" s="197">
        <f t="shared" si="7"/>
        <v>55</v>
      </c>
      <c r="R14" s="197">
        <f t="shared" si="7"/>
        <v>926</v>
      </c>
      <c r="S14" s="197">
        <f t="shared" si="7"/>
        <v>654</v>
      </c>
      <c r="T14" s="197">
        <f t="shared" si="7"/>
        <v>173</v>
      </c>
      <c r="U14" s="197">
        <f t="shared" si="7"/>
        <v>163</v>
      </c>
      <c r="V14" s="197">
        <f t="shared" si="7"/>
        <v>664</v>
      </c>
      <c r="W14" s="197">
        <f t="shared" si="7"/>
        <v>42</v>
      </c>
      <c r="X14" s="197">
        <f t="shared" si="7"/>
        <v>102</v>
      </c>
      <c r="Y14" s="197">
        <f t="shared" si="7"/>
        <v>32</v>
      </c>
      <c r="Z14" s="197">
        <f t="shared" si="7"/>
        <v>33</v>
      </c>
      <c r="AA14" s="197">
        <f t="shared" si="7"/>
        <v>37</v>
      </c>
      <c r="AB14" s="197">
        <f t="shared" si="7"/>
        <v>28</v>
      </c>
      <c r="AC14" s="197">
        <f t="shared" si="7"/>
        <v>0</v>
      </c>
      <c r="AD14" s="197">
        <f t="shared" si="7"/>
        <v>0</v>
      </c>
      <c r="AE14" s="197">
        <f t="shared" si="7"/>
        <v>0</v>
      </c>
      <c r="AF14" s="197">
        <f>SUBTOTAL(9,AF9:AF13)</f>
        <v>0</v>
      </c>
      <c r="AG14" s="197">
        <f t="shared" ref="AG14:AT14" si="8">SUBTOTAL(9,AG8:AG13)</f>
        <v>126</v>
      </c>
      <c r="AH14" s="197">
        <f t="shared" si="8"/>
        <v>29</v>
      </c>
      <c r="AI14" s="197">
        <f t="shared" si="8"/>
        <v>34</v>
      </c>
      <c r="AJ14" s="197">
        <f t="shared" si="8"/>
        <v>121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780</v>
      </c>
      <c r="AZ14" s="197">
        <f>SUBTOTAL(9,AZ8:AZ13)</f>
        <v>202</v>
      </c>
      <c r="BA14" s="197">
        <f>SUBTOTAL(9,BA8:BA13)</f>
        <v>197</v>
      </c>
      <c r="BB14" s="197">
        <f>SUBTOTAL(9,BB8:BB13)</f>
        <v>785</v>
      </c>
      <c r="BC14" s="197">
        <f>SUBTOTAL(9,BC8:BC13)</f>
        <v>102</v>
      </c>
      <c r="BD14" s="219">
        <f>IF(ISNUMBER(BA14/AZ14),BA14/AZ14," - ")</f>
        <v>0.97524752475247523</v>
      </c>
      <c r="BE14" s="220">
        <f>IF(ISNUMBER(BB14/BA14),BB14/BA14, " - ")</f>
        <v>3.984771573604061</v>
      </c>
      <c r="BF14" s="220">
        <f>IF(ISNUMBER(BC14/BA14),BC14/BA14, " - ")</f>
        <v>0.51776649746192893</v>
      </c>
      <c r="BG14" s="221">
        <f>IF(ISNUMBER((AY14+AZ14)/BA14),(AY14+AZ14)/BA14," - ")</f>
        <v>4.9847715736040605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440</v>
      </c>
      <c r="J17" s="196">
        <v>235</v>
      </c>
      <c r="K17" s="196">
        <v>271</v>
      </c>
      <c r="L17" s="196">
        <v>410</v>
      </c>
      <c r="M17" s="196">
        <v>36</v>
      </c>
      <c r="N17" s="196">
        <v>156</v>
      </c>
      <c r="O17" s="194">
        <v>0</v>
      </c>
      <c r="P17" s="196">
        <v>6</v>
      </c>
      <c r="Q17" s="196">
        <v>1</v>
      </c>
      <c r="R17" s="196">
        <v>31</v>
      </c>
      <c r="S17" s="196">
        <v>634</v>
      </c>
      <c r="T17" s="196">
        <v>293</v>
      </c>
      <c r="U17" s="196">
        <v>356</v>
      </c>
      <c r="V17" s="196">
        <v>572</v>
      </c>
      <c r="W17" s="196">
        <v>29</v>
      </c>
      <c r="X17" s="202">
        <v>274</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634</v>
      </c>
      <c r="AZ17" s="137">
        <f t="shared" si="10"/>
        <v>293</v>
      </c>
      <c r="BA17" s="137">
        <f t="shared" si="10"/>
        <v>356</v>
      </c>
      <c r="BB17" s="137">
        <f t="shared" si="10"/>
        <v>572</v>
      </c>
      <c r="BC17" s="135">
        <f>IF(ISNUMBER(W17),W17," - ")</f>
        <v>29</v>
      </c>
      <c r="BD17" s="136">
        <f t="shared" ref="BD17:BD22" si="12">IF(ISNUMBER(BA17/AZ17),BA17/AZ17," - ")</f>
        <v>1.2150170648464165</v>
      </c>
      <c r="BE17" s="137">
        <f t="shared" ref="BE17:BE22" si="13">IF(ISNUMBER(BB17/BA17),BB17/BA17, " - ")</f>
        <v>1.6067415730337078</v>
      </c>
      <c r="BF17" s="137">
        <f t="shared" ref="BF17:BF22" si="14">IF(ISNUMBER(BC17/BA17),BC17/BA17, " - ")</f>
        <v>8.1460674157303375E-2</v>
      </c>
      <c r="BG17" s="209">
        <f t="shared" si="11"/>
        <v>2.6039325842696628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v>
      </c>
      <c r="J18" s="196">
        <v>30</v>
      </c>
      <c r="K18" s="196">
        <v>49</v>
      </c>
      <c r="L18" s="196">
        <v>54</v>
      </c>
      <c r="M18" s="196">
        <v>4</v>
      </c>
      <c r="N18" s="196">
        <v>33</v>
      </c>
      <c r="O18" s="196">
        <v>0</v>
      </c>
      <c r="P18" s="196">
        <v>1</v>
      </c>
      <c r="Q18" s="196">
        <v>0</v>
      </c>
      <c r="R18" s="196">
        <v>2</v>
      </c>
      <c r="S18" s="196">
        <v>56</v>
      </c>
      <c r="T18" s="196">
        <v>21</v>
      </c>
      <c r="U18" s="196">
        <v>23</v>
      </c>
      <c r="V18" s="196">
        <v>54</v>
      </c>
      <c r="W18" s="196">
        <v>6</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21</v>
      </c>
      <c r="BA18" s="139">
        <f t="shared" si="15"/>
        <v>23</v>
      </c>
      <c r="BB18" s="139">
        <f t="shared" si="15"/>
        <v>54</v>
      </c>
      <c r="BC18" s="135">
        <f>IF(ISNUMBER(W18),W18," - ")</f>
        <v>6</v>
      </c>
      <c r="BD18" s="136">
        <f>IF(ISNUMBER(BA18/AZ18),BA18/AZ18," - ")</f>
        <v>1.0952380952380953</v>
      </c>
      <c r="BE18" s="137">
        <f>IF(ISNUMBER(BB18/BA18),BB18/BA18, " - ")</f>
        <v>2.347826086956522</v>
      </c>
      <c r="BF18" s="137">
        <f>IF(ISNUMBER(BC18/BA18),BC18/BA18, " - ")</f>
        <v>0.2608695652173913</v>
      </c>
      <c r="BG18" s="209">
        <f>IF(ISNUMBER((AY18+AZ18)/BA18),(AY18+AZ18)/BA18," - ")</f>
        <v>3.347826086956522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515</v>
      </c>
      <c r="J23" s="197">
        <f t="shared" si="21"/>
        <v>265</v>
      </c>
      <c r="K23" s="197">
        <f t="shared" si="21"/>
        <v>320</v>
      </c>
      <c r="L23" s="197">
        <f t="shared" si="21"/>
        <v>464</v>
      </c>
      <c r="M23" s="197">
        <f t="shared" si="21"/>
        <v>40</v>
      </c>
      <c r="N23" s="197">
        <f t="shared" si="21"/>
        <v>189</v>
      </c>
      <c r="O23" s="197">
        <f t="shared" si="21"/>
        <v>0</v>
      </c>
      <c r="P23" s="197">
        <f t="shared" si="21"/>
        <v>7</v>
      </c>
      <c r="Q23" s="197">
        <f t="shared" si="21"/>
        <v>1</v>
      </c>
      <c r="R23" s="197">
        <f t="shared" si="21"/>
        <v>33</v>
      </c>
      <c r="S23" s="197">
        <f t="shared" si="21"/>
        <v>690</v>
      </c>
      <c r="T23" s="197">
        <f t="shared" si="21"/>
        <v>314</v>
      </c>
      <c r="U23" s="197">
        <f t="shared" si="21"/>
        <v>379</v>
      </c>
      <c r="V23" s="197">
        <f t="shared" si="21"/>
        <v>626</v>
      </c>
      <c r="W23" s="197">
        <f t="shared" si="21"/>
        <v>35</v>
      </c>
      <c r="X23" s="197">
        <f t="shared" si="21"/>
        <v>289</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690</v>
      </c>
      <c r="AZ23" s="197">
        <f>SUBTOTAL(9,AZ15:AZ22)</f>
        <v>314</v>
      </c>
      <c r="BA23" s="197">
        <f>SUBTOTAL(9,BA15:BA22)</f>
        <v>379</v>
      </c>
      <c r="BB23" s="197">
        <f>SUBTOTAL(9,BB15:BB22)</f>
        <v>626</v>
      </c>
      <c r="BC23" s="197">
        <f>SUBTOTAL(9,BC15:BC22)</f>
        <v>35</v>
      </c>
      <c r="BD23" s="219">
        <f>IF(ISNUMBER(BA23/AZ23),BA23/AZ23," - ")</f>
        <v>1.2070063694267517</v>
      </c>
      <c r="BE23" s="220">
        <f>IF(ISNUMBER(BB23/BA23),BB23/BA23, " - ")</f>
        <v>1.6517150395778364</v>
      </c>
      <c r="BF23" s="220">
        <f>IF(ISNUMBER(BC23/BA23),BC23/BA23, " - ")</f>
        <v>9.2348284960422161E-2</v>
      </c>
      <c r="BG23" s="221">
        <f>IF(ISNUMBER((AY23+AZ23)/BA23),(AY23+AZ23)/BA23," - ")</f>
        <v>2.6490765171503958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1268</v>
      </c>
      <c r="J31" s="144">
        <f t="shared" si="36"/>
        <v>454</v>
      </c>
      <c r="K31" s="144">
        <f t="shared" si="36"/>
        <v>544</v>
      </c>
      <c r="L31" s="144">
        <f t="shared" si="36"/>
        <v>1182</v>
      </c>
      <c r="M31" s="144">
        <f t="shared" si="36"/>
        <v>100</v>
      </c>
      <c r="N31" s="144">
        <f t="shared" si="36"/>
        <v>304</v>
      </c>
      <c r="O31" s="144">
        <f t="shared" si="36"/>
        <v>76</v>
      </c>
      <c r="P31" s="144">
        <f t="shared" si="36"/>
        <v>49</v>
      </c>
      <c r="Q31" s="144">
        <f t="shared" si="36"/>
        <v>56</v>
      </c>
      <c r="R31" s="144">
        <f t="shared" si="36"/>
        <v>959</v>
      </c>
      <c r="S31" s="144">
        <f t="shared" si="36"/>
        <v>1344</v>
      </c>
      <c r="T31" s="144">
        <f t="shared" si="36"/>
        <v>487</v>
      </c>
      <c r="U31" s="144">
        <f t="shared" si="36"/>
        <v>542</v>
      </c>
      <c r="V31" s="144">
        <f t="shared" si="36"/>
        <v>1290</v>
      </c>
      <c r="W31" s="144">
        <f t="shared" si="36"/>
        <v>77</v>
      </c>
      <c r="X31" s="144">
        <f t="shared" si="36"/>
        <v>391</v>
      </c>
      <c r="Y31" s="144">
        <f t="shared" si="36"/>
        <v>32</v>
      </c>
      <c r="Z31" s="144">
        <f t="shared" si="36"/>
        <v>33</v>
      </c>
      <c r="AA31" s="144">
        <f t="shared" si="36"/>
        <v>37</v>
      </c>
      <c r="AB31" s="144">
        <f t="shared" si="36"/>
        <v>28</v>
      </c>
      <c r="AC31" s="144">
        <f t="shared" si="36"/>
        <v>0</v>
      </c>
      <c r="AD31" s="144">
        <f t="shared" si="36"/>
        <v>1</v>
      </c>
      <c r="AE31" s="144">
        <f t="shared" si="36"/>
        <v>0</v>
      </c>
      <c r="AF31" s="144">
        <f t="shared" si="36"/>
        <v>1</v>
      </c>
      <c r="AG31" s="144">
        <f t="shared" si="36"/>
        <v>126</v>
      </c>
      <c r="AH31" s="144">
        <f t="shared" si="36"/>
        <v>29</v>
      </c>
      <c r="AI31" s="144">
        <f t="shared" si="36"/>
        <v>34</v>
      </c>
      <c r="AJ31" s="144">
        <f t="shared" si="36"/>
        <v>121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1470</v>
      </c>
      <c r="AZ31" s="144">
        <f>SUBTOTAL(9,AZ9:AZ30)</f>
        <v>516</v>
      </c>
      <c r="BA31" s="144">
        <f>SUBTOTAL(9,BA9:BA30)</f>
        <v>576</v>
      </c>
      <c r="BB31" s="144">
        <f>SUBTOTAL(9,BB9:BB30)</f>
        <v>1411</v>
      </c>
      <c r="BC31" s="145">
        <f>SUBTOTAL(9,BC9:BC30)</f>
        <v>137</v>
      </c>
      <c r="BD31" s="227">
        <f>IF(ISNUMBER(BA31/AZ31),BA31/AZ31," - ")</f>
        <v>1.1162790697674418</v>
      </c>
      <c r="BE31" s="224">
        <f>IF(ISNUMBER(BB31/BA31),BB31/BA31, " - ")</f>
        <v>2.4496527777777777</v>
      </c>
      <c r="BF31" s="224">
        <f>IF(ISNUMBER(BC31/BA31),BC31/BA31, " - ")</f>
        <v>0.23784722222222221</v>
      </c>
      <c r="BG31" s="145">
        <f>IF(ISNUMBER((AY31+AZ31)/BA31),(AY31+AZ31)/BA31," - ")</f>
        <v>3.4479166666666665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psRkc9BddISBJ3pQFhxtNhDtXLg5tvt6uwkOMukYnYlKNAhRp1YiYuEtv6qV61TKvLLUMV2GUUWBASJKFspQ==" saltValue="ZfK0jE7ayCuB8+YSNVQu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gJA3bGgssrm/PCcWwFq7jzGGXsxeakasVRcLDpPnC5on5Xz5DzAESVP/HroOqQd7CoN6DHY8pEdZ3uY/LvO9A==" saltValue="PyG9FmFeHdTRQunoKLIV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PEÑARROYA-PUEBLONUEVO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925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115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1.1809954751131222</v>
      </c>
      <c r="BH12" s="764">
        <f>IF(ISNUMBER(((IF(J_V="SI",Datos!L12/Datos!K12,(Datos!L12+Datos!AB12)/(Datos!K12+Datos!AA12)))*11)/factor_trimestre),((IF(J_V="SI",Datos!L12/Datos!K12,(Datos!L12+Datos!AB12)/(Datos!K12+Datos!AA12)))*11)/factor_trimestre," - ")</f>
        <v>8.5287356321839081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-1.3859275053304905E-2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55</v>
      </c>
      <c r="AD14" s="1198">
        <f t="shared" si="2"/>
        <v>0</v>
      </c>
      <c r="AE14" s="1198">
        <f t="shared" si="2"/>
        <v>0</v>
      </c>
      <c r="AF14" s="1198">
        <f t="shared" si="2"/>
        <v>4</v>
      </c>
      <c r="AG14" s="1198">
        <f t="shared" si="2"/>
        <v>0</v>
      </c>
      <c r="AH14" s="1198">
        <f t="shared" si="2"/>
        <v>28</v>
      </c>
      <c r="AI14" s="1198">
        <f t="shared" si="2"/>
        <v>0</v>
      </c>
      <c r="AJ14" s="1198">
        <f t="shared" si="2"/>
        <v>0</v>
      </c>
      <c r="AK14" s="1198">
        <f t="shared" si="2"/>
        <v>0</v>
      </c>
      <c r="AL14" s="1198">
        <f t="shared" si="2"/>
        <v>0</v>
      </c>
      <c r="AM14" s="1198">
        <f t="shared" si="2"/>
        <v>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115</v>
      </c>
      <c r="BE14" s="1198">
        <f t="shared" si="2"/>
        <v>0</v>
      </c>
      <c r="BF14" s="1198">
        <f t="shared" si="2"/>
        <v>0</v>
      </c>
      <c r="BG14" s="1198">
        <f>IF(ISNUMBER(Datos!K14/Datos!J14),Datos!K14/Datos!J14," - ")</f>
        <v>1.1851851851851851</v>
      </c>
      <c r="BH14" s="1202">
        <f>IF(ISNUMBER(((Datos!L14/Datos!K14)*11)/factor_trimestre),((Datos!L14/Datos!K14)*11)/factor_trimestre," - ")</f>
        <v>9.6160714285714288</v>
      </c>
      <c r="BI14" s="1198">
        <f>IF(ISNUMBER('Resol  Asuntos'!D14/NºAsuntos!G14),'Resol  Asuntos'!D14/NºAsuntos!G14," - ")</f>
        <v>0.22988505747126436</v>
      </c>
      <c r="BJ14" s="1198" t="str">
        <f>IF(ISNUMBER(Datos!CI14/Datos!CJ14),Datos!CI14/Datos!CJ14," - ")</f>
        <v xml:space="preserve"> - </v>
      </c>
      <c r="BK14" s="1198">
        <f>SUBTOTAL(9,BK8:BK13)</f>
        <v>0</v>
      </c>
      <c r="BL14" s="1198">
        <f>IF(ISNUMBER((I14-AB14+L14)/(F14)),(I14-AB14+L14)/(F14)," - ")</f>
        <v>0</v>
      </c>
      <c r="BM14" s="1203">
        <f>SUBTOTAL(9,BM9:BM13)</f>
        <v>-1.3859275053304905E-2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446</v>
      </c>
      <c r="G17" s="743">
        <f>IF(ISNUMBER(IF(D_I="SI",Datos!I17,Datos!I17+Datos!AC17)),IF(D_I="SI",Datos!I17,Datos!I17+Datos!AC17)," - ")</f>
        <v>440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271</v>
      </c>
      <c r="AC17" s="240">
        <f>IF(ISNUMBER(Datos!Q17),Datos!Q17," - ")</f>
        <v>1</v>
      </c>
      <c r="AD17" s="374"/>
      <c r="AE17" s="562"/>
      <c r="AF17" s="741">
        <f>IF(ISNUMBER(IF(D_I="SI",Datos!L17,Datos!L17+Datos!AF17)),IF(D_I="SI",Datos!L17,Datos!L17+Datos!AF17)," - ")</f>
        <v>410</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156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1.1531914893617021</v>
      </c>
      <c r="BH17" s="764">
        <f>IF(ISNUMBER(((IF(D_I="SI",Datos!L17/Datos!K17,(Datos!L17+Datos!AF17)/(Datos!K17+Datos!AE17)))*11)/factor_trimestre),((IF(D_I="SI",Datos!L17/Datos!K17,(Datos!L17+Datos!AF17)/(Datos!K17+Datos!AE17)))*11)/factor_trimestre," - ")</f>
        <v>4.5387453874538748</v>
      </c>
      <c r="BI17" s="266">
        <f>IF(ISNUMBER('Resol  Asuntos'!D17/NºAsuntos!G17),'Resol  Asuntos'!D17/NºAsuntos!G17," - ")</f>
        <v>0.13284132841328414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54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1.6333333333333333</v>
      </c>
      <c r="BH18" s="764">
        <f>IF(ISNUMBER(((IF(D_I="SI",Datos!L18/Datos!K18,(Datos!L18+Datos!AF18)/(Datos!K18+Datos!AE18)))*11)/factor_trimestre),((IF(D_I="SI",Datos!L18/Datos!K18,(Datos!L18+Datos!AF18)/(Datos!K18+Datos!AE18)))*11)/factor_trimestre," - ")</f>
        <v>3.3061224489795915</v>
      </c>
      <c r="BI18" s="763">
        <f>IF(ISNUMBER('Resol  Asuntos'!D18/NºAsuntos!G18),'Resol  Asuntos'!D18/NºAsuntos!G18," - ")</f>
        <v>8.1632653061224483E-2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446</v>
      </c>
      <c r="G23" s="1197">
        <f>SUBTOTAL(9,G16:G22)</f>
        <v>515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320</v>
      </c>
      <c r="AC23" s="1198">
        <f t="shared" si="5"/>
        <v>1</v>
      </c>
      <c r="AD23" s="1198">
        <f t="shared" si="5"/>
        <v>0</v>
      </c>
      <c r="AE23" s="1198">
        <f t="shared" si="5"/>
        <v>0</v>
      </c>
      <c r="AF23" s="1198">
        <f t="shared" si="5"/>
        <v>464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189</v>
      </c>
      <c r="BE23" s="1198">
        <f t="shared" si="5"/>
        <v>0</v>
      </c>
      <c r="BF23" s="1198">
        <f t="shared" si="5"/>
        <v>0</v>
      </c>
      <c r="BG23" s="1198">
        <f>IF(ISNUMBER(Datos!K23/Datos!J23),Datos!K23/Datos!J23," - ")</f>
        <v>1.2075471698113207</v>
      </c>
      <c r="BH23" s="1202">
        <f>IF(ISNUMBER(((Datos!L23/Datos!K23)*11)/factor_trimestre),((Datos!L23/Datos!K23)*11)/factor_trimestre," - ")</f>
        <v>4.3499999999999996</v>
      </c>
      <c r="BI23" s="1198">
        <f>SUBTOTAL(9,BI16:BI22)</f>
        <v>0.21447398147450863</v>
      </c>
      <c r="BJ23" s="1198">
        <f>SUBTOTAL(9,BJ16:BJ22)</f>
        <v>0</v>
      </c>
      <c r="BK23" s="1198">
        <f>SUBTOTAL(9,BK16:BK22)</f>
        <v>0</v>
      </c>
      <c r="BL23" s="1198">
        <f>IF(ISNUMBER((I23-AB23+L23)/(F23)),(I23-AB23+L23)/(F23)," - ")</f>
        <v>-0.71748878923766812</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449</v>
      </c>
      <c r="G31" s="1117">
        <f t="shared" si="18"/>
        <v>518</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320</v>
      </c>
      <c r="AC31" s="1118">
        <f t="shared" si="19"/>
        <v>56</v>
      </c>
      <c r="AD31" s="1118">
        <f t="shared" si="19"/>
        <v>0</v>
      </c>
      <c r="AE31" s="1118">
        <f t="shared" si="19"/>
        <v>0</v>
      </c>
      <c r="AF31" s="1125">
        <f t="shared" si="19"/>
        <v>468</v>
      </c>
      <c r="AG31" s="1125">
        <f t="shared" si="19"/>
        <v>0</v>
      </c>
      <c r="AH31" s="1125">
        <f t="shared" si="19"/>
        <v>28</v>
      </c>
      <c r="AI31" s="1125">
        <f t="shared" si="19"/>
        <v>0</v>
      </c>
      <c r="AJ31" s="1118">
        <f t="shared" si="19"/>
        <v>0</v>
      </c>
      <c r="AK31" s="1125">
        <f t="shared" si="19"/>
        <v>0</v>
      </c>
      <c r="AL31" s="1125">
        <f t="shared" si="19"/>
        <v>0</v>
      </c>
      <c r="AM31" s="1125">
        <f t="shared" si="19"/>
        <v>959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304</v>
      </c>
      <c r="BE31" s="1117">
        <f t="shared" si="19"/>
        <v>0</v>
      </c>
      <c r="BF31" s="1127">
        <f t="shared" si="19"/>
        <v>0</v>
      </c>
      <c r="BG31" s="1223">
        <f>IF(ISNUMBER(Datos!K31/Datos!J31),Datos!K31/Datos!J31," - ")</f>
        <v>1.1982378854625551</v>
      </c>
      <c r="BH31" s="1223">
        <f>IF(ISNUMBER(((Datos!L31/Datos!K31)*11)/factor_trimestre),((Datos!L31/Datos!K31)*11)/factor_trimestre," - ")</f>
        <v>6.5183823529411775</v>
      </c>
      <c r="BI31" s="1103">
        <f>IF(ISNUMBER(Datos!J31/Datos!I31),Datos!J31/Datos!I31," - ")</f>
        <v>0.35804416403785488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-0.71269487750556793</v>
      </c>
      <c r="BM31" s="1188">
        <f>IF(ISNUMBER((Datos!P31-Datos!Q31+R31)/(Datos!R31-Datos!P31+Datos!Q31-R31)),(Datos!P31-Datos!Q31+R31)/(Datos!R31-Datos!P31+Datos!Q31-R31)," - ")</f>
        <v>-7.246376811594203E-3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229.54273385726387</v>
      </c>
      <c r="G33" s="674">
        <f>IF(ISNUMBER(STDEV(G8:G30)),STDEV(G8:G30),"-")</f>
        <v>227.72058902669883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141.26081922323348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27.023799035030482</v>
      </c>
      <c r="BD33" s="673"/>
      <c r="BE33" s="673">
        <f>IF(ISNUMBER(STDEV(BE8:BE30)),STDEV(BE8:BE30),"-")</f>
        <v>0</v>
      </c>
      <c r="BF33" s="678">
        <f>IF(ISNUMBER(STDEV(BF8:BF30)),STDEV(BF8:BF30),"-")</f>
        <v>0</v>
      </c>
      <c r="BG33" s="1052">
        <f>IF(ISNUMBER(STDEV(BG8:BG30)),STDEV(BG8:BG30),"-")</f>
        <v>0.55010492763993457</v>
      </c>
      <c r="BH33" s="1058">
        <f>IF(ISNUMBER(STDEV(BH8:BH30)),STDEV(BH8:BH30),"-")</f>
        <v>2.8090096995840939</v>
      </c>
      <c r="BI33" s="273">
        <f>IF(ISNUMBER(STDEV(BI8:BI30)),STDEV(BI8:BI30),"-")</f>
        <v>6.9861051999634313E-2</v>
      </c>
      <c r="BJ33" s="244" t="str">
        <f>IF(ISNUMBER(BL33/BM33),BL33/BM33," - ")</f>
        <v xml:space="preserve"> - </v>
      </c>
      <c r="BK33" s="709"/>
      <c r="BL33" s="681">
        <f>IF(ISNUMBER(STDEV(BL8:BL30)),STDEV(BL8:BL30),"-")</f>
        <v>0.50734118829528074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g3cJLcVdJF9d5cy+oBjxNpvpTLvpsK7zX9+XiZfVykkh6XZi0GdDa82vnTEci23h+5XlIHwt889bfwZTidyBQ==" saltValue="J2n7wyhAMoWtFwxjAvez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PEÑARROYA-PUEBLONUEVO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v>
      </c>
      <c r="AA12" s="551" t="str">
        <f>IF(ISNUMBER(IF(J_V="SI",Datos!L12,Datos!L12+Datos!AB12)-IF(Monitorios="SI",Datos!CD12,0)),
                          IF(J_V="SI",Datos!L12,Datos!L12+Datos!AB12)-IF(Monitorios="SI",Datos!CD12,0),
                          " - ")</f>
        <v xml:space="preserve"> - </v>
      </c>
      <c r="AB12" s="549"/>
      <c r="AC12" s="549"/>
      <c r="AD12" s="563"/>
      <c r="AE12" s="563">
        <f>IF(ISNUMBER(Datos!R12),Datos!R12," - ")</f>
        <v>925</v>
      </c>
      <c r="AF12" s="693" t="str">
        <f>IF(ISNUMBER(Datos!BV12),Datos!BV12," - ")</f>
        <v xml:space="preserve"> - </v>
      </c>
      <c r="AG12" s="552" t="str">
        <f>IF(ISNUMBER(Datos!DV12),Datos!DV12," - ")</f>
        <v xml:space="preserve"> - </v>
      </c>
      <c r="AH12" s="553"/>
      <c r="AI12" s="554"/>
      <c r="AJ12" s="552">
        <f>IF(ISNUMBER(Datos!M12),Datos!M12," - ")</f>
        <v>60</v>
      </c>
      <c r="AK12" s="693">
        <f>IF(ISNUMBER(Datos!N12),Datos!N12," - ")</f>
        <v>115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8.5287356321839081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-1.3859275053304905E-2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55</v>
      </c>
      <c r="AA14" s="1199">
        <f t="shared" si="3"/>
        <v>4</v>
      </c>
      <c r="AB14" s="1199">
        <f t="shared" si="3"/>
        <v>0</v>
      </c>
      <c r="AC14" s="1199">
        <f t="shared" si="3"/>
        <v>0</v>
      </c>
      <c r="AD14" s="1199">
        <f t="shared" si="3"/>
        <v>0</v>
      </c>
      <c r="AE14" s="1199">
        <f t="shared" si="3"/>
        <v>926</v>
      </c>
      <c r="AF14" s="1211">
        <f t="shared" si="3"/>
        <v>0</v>
      </c>
      <c r="AG14" s="1211">
        <f t="shared" si="3"/>
        <v>0</v>
      </c>
      <c r="AH14" s="1211">
        <f t="shared" si="3"/>
        <v>0</v>
      </c>
      <c r="AI14" s="1211">
        <f t="shared" si="3"/>
        <v>0</v>
      </c>
      <c r="AJ14" s="1211">
        <f t="shared" si="3"/>
        <v>60</v>
      </c>
      <c r="AK14" s="1211">
        <f t="shared" si="3"/>
        <v>115</v>
      </c>
      <c r="AL14" s="1211">
        <f t="shared" si="3"/>
        <v>0</v>
      </c>
      <c r="AM14" s="1211">
        <f t="shared" si="3"/>
        <v>0</v>
      </c>
      <c r="AN14" s="1211">
        <f t="shared" si="3"/>
        <v>0</v>
      </c>
      <c r="AO14" s="1203">
        <f>IF(ISNUMBER(((NºAsuntos!I14/NºAsuntos!G14)*11)/factor_trimestre),((NºAsuntos!I14/NºAsuntos!G14)*11)/factor_trimestre," - ")</f>
        <v>8.5747126436781613</v>
      </c>
      <c r="AP14" s="1213" t="str">
        <f>IF(ISNUMBER(Datos!CI14/Datos!CJ14),Datos!CI14/Datos!CJ14," - ")</f>
        <v xml:space="preserve"> - </v>
      </c>
      <c r="AQ14" s="1236">
        <f t="shared" ref="AQ14:AV14" si="4">SUBTOTAL(9,AQ9:AQ13)</f>
        <v>0</v>
      </c>
      <c r="AR14" s="1236">
        <f t="shared" si="4"/>
        <v>-1.3859275053304905E-2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446</v>
      </c>
      <c r="G17" s="552">
        <f>IF(ISNUMBER(IF(D_I="SI",Datos!I17,Datos!I17+Datos!AC17)),IF(D_I="SI",Datos!I17,Datos!I17+Datos!AC17)," - ")</f>
        <v>440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271</v>
      </c>
      <c r="Z17" s="805">
        <f>IF(ISNUMBER(Datos!Q17),Datos!Q17," - ")</f>
        <v>1</v>
      </c>
      <c r="AA17" s="551">
        <f>IF(ISNUMBER(IF(D_I="SI",Datos!L17,Datos!L17+Datos!AF17)),IF(D_I="SI",Datos!L17,Datos!L17+Datos!AF17)," - ")</f>
        <v>410</v>
      </c>
      <c r="AB17" s="549"/>
      <c r="AC17" s="549"/>
      <c r="AD17" s="563"/>
      <c r="AE17" s="563">
        <f>IF(ISNUMBER(Datos!R17),Datos!R17," - ")</f>
        <v>31</v>
      </c>
      <c r="AF17" s="693" t="str">
        <f>IF(ISNUMBER(Datos!BV17),Datos!BV17," - ")</f>
        <v xml:space="preserve"> - </v>
      </c>
      <c r="AG17" s="552"/>
      <c r="AH17" s="553"/>
      <c r="AI17" s="554"/>
      <c r="AJ17" s="552">
        <f>IF(ISNUMBER(Datos!M17),Datos!M17," - ")</f>
        <v>36</v>
      </c>
      <c r="AK17" s="693">
        <f>IF(ISNUMBER(Datos!N17),Datos!N17," - ")</f>
        <v>156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4.5387453874538748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54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3.3061224489795915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446</v>
      </c>
      <c r="G23" s="1197">
        <f>SUBTOTAL(9,G16:G22)</f>
        <v>515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320</v>
      </c>
      <c r="Z23" s="1240">
        <f t="shared" si="6"/>
        <v>1</v>
      </c>
      <c r="AA23" s="1240">
        <f t="shared" si="6"/>
        <v>464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40</v>
      </c>
      <c r="AK23" s="1240">
        <f t="shared" si="6"/>
        <v>189</v>
      </c>
      <c r="AL23" s="1240">
        <f t="shared" si="6"/>
        <v>0</v>
      </c>
      <c r="AM23" s="1240">
        <f t="shared" si="6"/>
        <v>0</v>
      </c>
      <c r="AN23" s="1240">
        <f t="shared" si="6"/>
        <v>0</v>
      </c>
      <c r="AO23" s="1242">
        <f>IF(ISNUMBER(((NºAsuntos!I23/NºAsuntos!G23)*11)/factor_trimestre),((NºAsuntos!I23/NºAsuntos!G23)*11)/factor_trimestre," - ")</f>
        <v>4.3499999999999996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449</v>
      </c>
      <c r="G31" s="1117">
        <f t="shared" si="12"/>
        <v>518</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320</v>
      </c>
      <c r="Z31" s="1124">
        <f t="shared" si="13"/>
        <v>56</v>
      </c>
      <c r="AA31" s="1125">
        <f t="shared" si="13"/>
        <v>468</v>
      </c>
      <c r="AB31" s="1125">
        <f t="shared" si="13"/>
        <v>0</v>
      </c>
      <c r="AC31" s="1125">
        <f t="shared" si="13"/>
        <v>0</v>
      </c>
      <c r="AD31" s="1126">
        <f t="shared" si="13"/>
        <v>0</v>
      </c>
      <c r="AE31" s="1126">
        <f t="shared" si="13"/>
        <v>959</v>
      </c>
      <c r="AF31" s="1127">
        <f t="shared" si="13"/>
        <v>0</v>
      </c>
      <c r="AG31" s="1128">
        <f t="shared" si="13"/>
        <v>0</v>
      </c>
      <c r="AH31" s="1129">
        <f t="shared" si="13"/>
        <v>0</v>
      </c>
      <c r="AI31" s="1127">
        <f t="shared" si="13"/>
        <v>0</v>
      </c>
      <c r="AJ31" s="1117">
        <f t="shared" si="13"/>
        <v>100</v>
      </c>
      <c r="AK31" s="1117">
        <f t="shared" si="13"/>
        <v>304</v>
      </c>
      <c r="AL31" s="1117">
        <f t="shared" si="13"/>
        <v>0</v>
      </c>
      <c r="AM31" s="1130">
        <f t="shared" si="13"/>
        <v>0</v>
      </c>
      <c r="AN31" s="1120">
        <f>IF(ISNUMBER(Datos!K31/Datos!J31),Datos!K31/Datos!J31," - ")</f>
        <v>1.1982378854625551</v>
      </c>
      <c r="AO31" s="1120">
        <f>IF(ISNUMBER(FIND("06",Criterios!A8,1)),(IF(ISNUMBER(((Datos!R31/Datos!Q31)*11)/factor_trimestre),((Datos!R31/Datos!Q31)*11)/factor_trimestre," - ")),(IF(ISNUMBER(((Datos!L31/Datos!K31)*11)/factor_trimestre),((Datos!L31/Datos!K31)*11)/factor_trimestre," - ")))</f>
        <v>6.5183823529411775</v>
      </c>
      <c r="AP31" s="1131" t="str">
        <f>IF(ISNUMBER(Datos!CI31/Datos!CJ31),Datos!CI31/Datos!CJ31," - ")</f>
        <v xml:space="preserve"> - </v>
      </c>
      <c r="AQ31" s="1131">
        <f>IF(OR(ISNUMBER(FIND("01",Criterios!A8,1)),ISNUMBER(FIND("02",Criterios!A8,1)),ISNUMBER(FIND("03",Criterios!A8,1)),ISNUMBER(FIND("04",Criterios!A8,1))),(J31-Y31+K31)/(F31-K31),(I31-Y31+K31)/(F31-K31))</f>
        <v>-0.71269487750556793</v>
      </c>
      <c r="AR31" s="1131">
        <f>IF(ISNUMBER((Datos!P31-Datos!Q31+O31)/(Datos!R31-Datos!P31+Datos!Q31-O31)),(Datos!P31-Datos!Q31+O31)/(Datos!R31-Datos!P31+Datos!Q31-O31)," - ")</f>
        <v>-7.246376811594203E-3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229.54273385726387</v>
      </c>
      <c r="G33" s="674">
        <f>IF(ISNUMBER(STDEV(G8:G30)),STDEV(G8:G30),"-")</f>
        <v>227.72058902669883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27.023799035030482</v>
      </c>
      <c r="AK33" s="276"/>
      <c r="AL33" s="276">
        <f>IF(ISNUMBER(STDEV(AL8:AL30)),STDEV(AL8:AL30),"-")</f>
        <v>0</v>
      </c>
      <c r="AM33" s="278">
        <f>IF(ISNUMBER(STDEV(AM8:AM30)),STDEV(AM8:AM30),"-")</f>
        <v>0</v>
      </c>
      <c r="AN33" s="660">
        <f>IF(ISNUMBER(STDEV(AN8:AN30)),STDEV(AN8:AN30),"-")</f>
        <v>0</v>
      </c>
      <c r="AO33" s="661">
        <f>IF(ISNUMBER(STDEV(AO8:AO30)),STDEV(AO8:AO30),"-")</f>
        <v>2.5019951209943887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mGCa7fYkQdNjBEymr1/MgoaHnEmp5S4B0yRqu+q6Hiyx9xftKFlmy8wTKGz1N9QBMcLJVgk87d0+IfoFu5EMw==" saltValue="j5Ba+W4wU4Ht4LSuSDTy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oVzWqbgM9WgI3VB58wUZQhIZVeW+atQp/MlDKbQ/qE2B8YqbbPMJto4baQ/bQ7JKZyOO54fms3SwqH4nL1nBQ==" saltValue="gcPd0bIH5829zfYVJZfV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CbNg7OGaIWhBPYDDEkuIZkq0v21XxRmTvLhf7GdV165MqkDtwfkue8YijiDdWxcvqx/yActbLRg9AEKNJzrjg==" saltValue="QyAVUMhTeGNGlB9pnU72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PEÑARROYA-PUEBLONUEVO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0.22988505747126436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0.16255328303139024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dH/SQVnZ1ySF2Vl1FrdZw6jmDjlN3wx7sOMn3jbZbxOz5zhS1LN/qn/RBQwVxHObsjaddZKq0nCQAoanwRtbw==" saltValue="aeIcg6rOWzYJcr8aAh3E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3vNziabglcV86o3p9CY8fHhkFpOjXJTHyGH18oe5NGyZcRDc/GcWpmhfdozZLokVcNwJI705StTGcfCMmpTBA==" saltValue="XtB21Pj0E6ZZEyxlfJNT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PEÑARROYA-PUEBLONUEVO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782</v>
      </c>
      <c r="D12" s="452">
        <f>IF(ISNUMBER(C12/Datos!BH12),C12/Datos!BH12," - ")</f>
        <v>391</v>
      </c>
      <c r="E12" s="451">
        <f>IF(ISNUMBER(IF(J_V="SI",Datos!J12,Datos!J12+Datos!Z12)),IF(J_V="SI",Datos!J12,Datos!J12+Datos!Z12)," - ")</f>
        <v>221</v>
      </c>
      <c r="F12" s="452">
        <f>IF(ISNUMBER(E12/B12),E12/B12," - ")</f>
        <v>110.5</v>
      </c>
      <c r="G12" s="451">
        <f>IF(ISNUMBER(IF(J_V="SI",Datos!K12,Datos!K12+Datos!AA12)),IF(J_V="SI",Datos!K12,Datos!K12+Datos!AA12)," - ")</f>
        <v>261</v>
      </c>
      <c r="H12" s="452">
        <f>IF(ISNUMBER(G12/B12),G12/B12," - ")</f>
        <v>130.5</v>
      </c>
      <c r="I12" s="451">
        <f>IF(ISNUMBER(IF(J_V="SI",Datos!L12,Datos!L12+Datos!AB12)),IF(J_V="SI",Datos!L12,Datos!L12+Datos!AB12)," - ")</f>
        <v>742</v>
      </c>
      <c r="J12" s="452">
        <f>IF(ISNUMBER(I12/B12),I12/B12," - ")</f>
        <v>371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785</v>
      </c>
      <c r="D14" s="1147" t="str">
        <f>IF(ISNUMBER(C14/Datos!BI14),C14/Datos!BI14," - ")</f>
        <v xml:space="preserve"> - </v>
      </c>
      <c r="E14" s="1146">
        <f>SUBTOTAL(9,E8:E13)</f>
        <v>222</v>
      </c>
      <c r="F14" s="1147">
        <f>IF(ISNUMBER(E14/B14),E14/B14," - ")</f>
        <v>111</v>
      </c>
      <c r="G14" s="1146">
        <f>SUBTOTAL(9,G8:G13)</f>
        <v>261</v>
      </c>
      <c r="H14" s="1147">
        <f>IF(ISNUMBER(G14/B14),G14/B14," - ")</f>
        <v>130.5</v>
      </c>
      <c r="I14" s="1146">
        <f>SUBTOTAL(9,I8:I13)</f>
        <v>746</v>
      </c>
      <c r="J14" s="1147">
        <f>IF(ISNUMBER(I14/B14),I14/B14," - ")</f>
        <v>373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440</v>
      </c>
      <c r="D17" s="452">
        <f>IF(ISNUMBER(C17/Datos!BH17),C17/Datos!BH17," - ")</f>
        <v>220</v>
      </c>
      <c r="E17" s="451">
        <f>IF(ISNUMBER(IF(D_I="SI",Datos!J17,Datos!J17+Datos!AD17)),IF(D_I="SI",Datos!J17,Datos!J17+Datos!AD17)," - ")</f>
        <v>235</v>
      </c>
      <c r="F17" s="452">
        <f>IF(ISNUMBER(E17/B17),E17/B17," - ")</f>
        <v>117.5</v>
      </c>
      <c r="G17" s="451">
        <f>IF(ISNUMBER(IF(D_I="SI",Datos!K17,Datos!K17+Datos!AE17)),IF(D_I="SI",Datos!K17,Datos!K17+Datos!AE17)," - ")</f>
        <v>271</v>
      </c>
      <c r="H17" s="452">
        <f>IF(ISNUMBER(G17/B17),G17/B17," - ")</f>
        <v>135.5</v>
      </c>
      <c r="I17" s="451">
        <f>IF(ISNUMBER(IF(D_I="SI",Datos!L17,Datos!L17+Datos!AF17)),IF(D_I="SI",Datos!L17,Datos!L17+Datos!AF17)," - ")</f>
        <v>410</v>
      </c>
      <c r="J17" s="452">
        <f>IF(ISNUMBER(I17/B17),I17/B17," - ")</f>
        <v>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75</v>
      </c>
      <c r="D18" s="452">
        <f>IF(ISNUMBER(C18/Datos!BH18),C18/Datos!BH18," - ")</f>
        <v>75</v>
      </c>
      <c r="E18" s="451">
        <f>IF(ISNUMBER(IF(D_I="SI",Datos!J18,Datos!J18+Datos!AD18)),IF(D_I="SI",Datos!J18,Datos!J18+Datos!AD18)," - ")</f>
        <v>30</v>
      </c>
      <c r="F18" s="452">
        <f>IF(ISNUMBER(E18/B18),E18/B18," - ")</f>
        <v>30</v>
      </c>
      <c r="G18" s="451">
        <f>IF(ISNUMBER(IF(D_I="SI",Datos!K18,Datos!K18+Datos!AE18)),IF(D_I="SI",Datos!K18,Datos!K18+Datos!AE18)," - ")</f>
        <v>49</v>
      </c>
      <c r="H18" s="452">
        <f>IF(ISNUMBER(G18/B18),G18/B18," - ")</f>
        <v>49</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515</v>
      </c>
      <c r="D23" s="1147" t="str">
        <f>IF(ISNUMBER(C23/Datos!BI23),C23/Datos!BI23," - ")</f>
        <v xml:space="preserve"> - </v>
      </c>
      <c r="E23" s="1146">
        <f>SUBTOTAL(9,E15:E22)</f>
        <v>265</v>
      </c>
      <c r="F23" s="1147">
        <f>IF(ISNUMBER(E23/B23),E23/B23," - ")</f>
        <v>132.5</v>
      </c>
      <c r="G23" s="1146">
        <f>SUBTOTAL(9,G15:G22)</f>
        <v>320</v>
      </c>
      <c r="H23" s="1147">
        <f>IF(ISNUMBER(G23/B23),G23/B23," - ")</f>
        <v>160</v>
      </c>
      <c r="I23" s="1146">
        <f>SUBTOTAL(9,I15:I22)</f>
        <v>464</v>
      </c>
      <c r="J23" s="1147">
        <f>IF(ISNUMBER(I23/B23),I23/B23," - ")</f>
        <v>232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1300</v>
      </c>
      <c r="D31" s="1085" t="str">
        <f>IF(ISNUMBER(C31/Datos!BI31),C31/Datos!BI31," - ")</f>
        <v xml:space="preserve"> - </v>
      </c>
      <c r="E31" s="1084">
        <f>SUBTOTAL(9,E9:E30)</f>
        <v>487</v>
      </c>
      <c r="F31" s="1085">
        <f>IF(ISNUMBER(E31/B31),E31/B31," - ")</f>
        <v>243.5</v>
      </c>
      <c r="G31" s="1084">
        <f>SUBTOTAL(9,G9:G30)</f>
        <v>581</v>
      </c>
      <c r="H31" s="1085">
        <f>IF(ISNUMBER(G31/B31),G31/B31," - ")</f>
        <v>290.5</v>
      </c>
      <c r="I31" s="1084">
        <f>SUBTOTAL(9,I9:I30)</f>
        <v>1210</v>
      </c>
      <c r="J31" s="1085">
        <f>IF(ISNUMBER(I31/B31),I31/B31," - ")</f>
        <v>605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SfKAzSO+i9B0zPtQw+xASBKP/paK4CUVzQzLmaXq+m70dbS7YXnCJWFjL1F/rWmZMWVrCsvVByoe2JSdIbi7A==" saltValue="u9SHJZVatrU2UniMFKfe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PEÑARROYA-PUEBLONUEVO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115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8.5287356321839081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-1.3859275053304905E-2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55</v>
      </c>
      <c r="AE14" s="1257">
        <f t="shared" si="1"/>
        <v>0</v>
      </c>
      <c r="AF14" s="1257">
        <f t="shared" si="1"/>
        <v>4</v>
      </c>
      <c r="AG14" s="1257">
        <f t="shared" si="1"/>
        <v>0</v>
      </c>
      <c r="AH14" s="1257">
        <f t="shared" si="1"/>
        <v>925</v>
      </c>
      <c r="AI14" s="1257">
        <f t="shared" si="1"/>
        <v>0</v>
      </c>
      <c r="AJ14" s="1257">
        <f t="shared" si="1"/>
        <v>0</v>
      </c>
      <c r="AK14" s="1257">
        <f t="shared" si="1"/>
        <v>0</v>
      </c>
      <c r="AL14" s="1257">
        <f t="shared" si="1"/>
        <v>60</v>
      </c>
      <c r="AM14" s="1257">
        <f t="shared" si="1"/>
        <v>115</v>
      </c>
      <c r="AN14" s="1257">
        <f t="shared" si="1"/>
        <v>0</v>
      </c>
      <c r="AO14" s="1257">
        <f t="shared" si="1"/>
        <v>0</v>
      </c>
      <c r="AP14" s="1262">
        <f>IF(ISNUMBER(((Datos!L14/Datos!K14)*11)/factor_trimestre),((Datos!L14/Datos!K14)*11)/factor_trimestre," - ")</f>
        <v>9.6160714285714288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-1.3859275053304905E-2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4.3499999999999996</v>
      </c>
      <c r="AQ23" s="1262">
        <f>IF(ISNUMBER(((Datos!M23/Datos!L23)*11)/factor_trimestre),((Datos!M23/Datos!L23)*11)/factor_trimestre," - ")</f>
        <v>0.25862068965517243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-4.4321329639889197E-2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55</v>
      </c>
      <c r="AE31" s="1284">
        <f t="shared" si="9"/>
        <v>0</v>
      </c>
      <c r="AF31" s="1285">
        <f t="shared" si="9"/>
        <v>4</v>
      </c>
      <c r="AG31" s="1285">
        <f t="shared" si="9"/>
        <v>0</v>
      </c>
      <c r="AH31" s="1285">
        <f t="shared" si="9"/>
        <v>925</v>
      </c>
      <c r="AI31" s="1285">
        <f t="shared" si="9"/>
        <v>0</v>
      </c>
      <c r="AJ31" s="1286">
        <f t="shared" si="9"/>
        <v>0</v>
      </c>
      <c r="AK31" s="1286">
        <f t="shared" si="9"/>
        <v>0</v>
      </c>
      <c r="AL31" s="1278">
        <f t="shared" si="9"/>
        <v>60</v>
      </c>
      <c r="AM31" s="1278">
        <f t="shared" si="9"/>
        <v>115</v>
      </c>
      <c r="AN31" s="1278">
        <f t="shared" si="9"/>
        <v>0</v>
      </c>
      <c r="AO31" s="1278">
        <f t="shared" si="9"/>
        <v>0</v>
      </c>
      <c r="AP31" s="1278">
        <f>IF(ISNUMBER(((Datos!L31/Datos!K31)*11)/factor_trimestre),((Datos!L31/Datos!K31)*11)/factor_trimestre," - ")</f>
        <v>6.5183823529411775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-7.246376811594203E-3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2.7801570371894924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qruPWBJ8w/xNTINUGGfFaDTA7ALXamNTPIZw296xnTunSqflrXwIoJBZJhOR6sRAXRnncZK3TzZqtQVotygYA==" saltValue="c3UajnWTeqV2ZcPDU4h1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PEÑARROYA-PUEBLONUEVO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Giu1bliOIdQOy5/1jQisnYf74Cf5OUbCh9V3/UdJVJZuxUOKx0bvOKfsn49U+wToMGA4g0jf0o7K7g3ZA33PQ==" saltValue="ro7iSgdZW71yIh2cy8+k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PEÑARROYA-PUEBLONUEVO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115</v>
      </c>
      <c r="G12" s="452">
        <f t="shared" si="1"/>
        <v>57.5</v>
      </c>
      <c r="H12" s="451">
        <f>IF(ISNUMBER(Datos!O12),Datos!O12," - ")</f>
        <v>76</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115</v>
      </c>
      <c r="G14" s="1147">
        <f t="shared" si="1"/>
        <v>38.333333333333336</v>
      </c>
      <c r="H14" s="1146">
        <f>SUBTOTAL(9,H9:H13)</f>
        <v>76</v>
      </c>
      <c r="I14" s="1147">
        <f>IF(ISNUMBER(H14/B14),H14/B14," - ")</f>
        <v>25.333333333333332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156</v>
      </c>
      <c r="G17" s="452">
        <f t="shared" si="4"/>
        <v>78</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189</v>
      </c>
      <c r="G23" s="1147">
        <f t="shared" si="4"/>
        <v>63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100</v>
      </c>
      <c r="E31" s="1085">
        <f>IF(ISNUMBER(D31/B31),D31/B31," - ")</f>
        <v>50</v>
      </c>
      <c r="F31" s="1084">
        <f>SUBTOTAL(9,F8:F30)</f>
        <v>304</v>
      </c>
      <c r="G31" s="1085">
        <f>IF(ISNUMBER(F31/B31),F31/B31," - ")</f>
        <v>152</v>
      </c>
      <c r="H31" s="1084">
        <f>SUBTOTAL(9,H8:H30)</f>
        <v>76</v>
      </c>
      <c r="I31" s="1085">
        <f>IF(ISNUMBER(H31/B31),H31/B31," - ")</f>
        <v>38</v>
      </c>
    </row>
    <row r="34" spans="1:1">
      <c r="A34" s="439" t="str">
        <f>Criterios!A4</f>
        <v>Fecha Informe: 06 may. 2023</v>
      </c>
    </row>
    <row r="39" spans="1:1">
      <c r="A39" s="462"/>
    </row>
  </sheetData>
  <sheetProtection algorithmName="SHA-512" hashValue="JT0HQTBclOLWycG2Vr7tr1is52BgqMWg0J1oTjj8LdVAghu1yoSbXTt9avkvLnYDXD1y/iXvLLChiAgsedM4nw==" saltValue="bindd1Nz52sKojtV/Bku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PEÑARROYA-PUEBLONUEVO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55</v>
      </c>
      <c r="D12" s="456">
        <f>IF(ISNUMBER(Datos!R12),Datos!R12," - ")</f>
        <v>925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55</v>
      </c>
      <c r="D14" s="1148">
        <f>SUBTOTAL(9,D9:D13)</f>
        <v>926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v>
      </c>
      <c r="D17" s="456">
        <f>IF(ISNUMBER(Datos!R17),Datos!R17," - ")</f>
        <v>31</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56</v>
      </c>
      <c r="D31" s="1090">
        <f>SUBTOTAL(9,D8:D30)</f>
        <v>959</v>
      </c>
    </row>
    <row r="32" spans="1:4" ht="7.5" customHeight="1"/>
    <row r="33" spans="1:1" ht="6" customHeight="1"/>
    <row r="34" spans="1:1">
      <c r="A34" s="439" t="str">
        <f>Criterios!A4</f>
        <v>Fecha Informe: 06 may. 2023</v>
      </c>
    </row>
    <row r="39" spans="1:1">
      <c r="A39" s="462"/>
    </row>
  </sheetData>
  <sheetProtection algorithmName="SHA-512" hashValue="JNJpwkFG9EWoBnexywPh89c60sIfjPK6a9KI7R8dfsw3X9JWsM5WLGh/MawIHI8saGqm54sF3AZJTjfFDtuabg==" saltValue="Re5auiObCx/76vh/N+8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PEÑARROYA-PUEBLONUEVO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-1</v>
      </c>
      <c r="E10" s="515">
        <f>IF(ISNUMBER((Datos!L10-Datos!V10)/Datos!V10),(Datos!L10-Datos!V10)/Datos!V10," - ")</f>
        <v>-0.5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1.4267185473411154E-2</v>
      </c>
      <c r="C12" s="515">
        <f>IF(ISNUMBER(
   IF(J_V="SI",(Datos!J12-Datos!T12)/Datos!T12,(Datos!J12+Datos!Z12-(Datos!T12+Datos!AH12))/(Datos!T12+Datos!AH12))
     ),IF(J_V="SI",(Datos!J12-Datos!T12)/Datos!T12,(Datos!J12+Datos!Z12-(Datos!T12+Datos!AH12))/(Datos!T12+Datos!AH12))," - ")</f>
        <v>9.950248756218906E-2</v>
      </c>
      <c r="D12" s="515">
        <f>IF(ISNUMBER(
   IF(J_V="SI",(Datos!K12-Datos!U12)/Datos!U12,(Datos!K12+Datos!AA12-(Datos!U12+Datos!AI12))/(Datos!U12+Datos!AI12))
     ),IF(J_V="SI",(Datos!K12-Datos!U12)/Datos!U12,(Datos!K12+Datos!AA12-(Datos!U12+Datos!AI12))/(Datos!U12+Datos!AI12))," - ")</f>
        <v>0.33846153846153848</v>
      </c>
      <c r="E12" s="515">
        <f>IF(ISNUMBER(
   IF(J_V="SI",(Datos!L12-Datos!V12)/Datos!V12,(Datos!L12+Datos!AB12-(Datos!V12+Datos!AJ12))/(Datos!V12+Datos!AJ12))
     ),IF(J_V="SI",(Datos!L12-Datos!V12)/Datos!V12,(Datos!L12+Datos!AB12-(Datos!V12+Datos!AJ12))/(Datos!V12+Datos!AJ12))," - ")</f>
        <v>-4.5045045045045043E-2</v>
      </c>
      <c r="F12" s="515">
        <f>IF(ISNUMBER((Datos!M12-Datos!W12)/Datos!W12),(Datos!M12-Datos!W12)/Datos!W12," - ")</f>
        <v>0.46341463414634149</v>
      </c>
      <c r="G12" s="516">
        <f>IF(ISNUMBER((Datos!N12-Datos!X12)/Datos!X12),(Datos!N12-Datos!X12)/Datos!X12," - ")</f>
        <v>0.13861386138613863</v>
      </c>
      <c r="H12" s="514">
        <f>IF(ISNUMBER(((NºAsuntos!G12/NºAsuntos!E12)-Datos!BD12)/Datos!BD12),((NºAsuntos!G12/NºAsuntos!E12)-Datos!BD12)/Datos!BD12," - ")</f>
        <v>0.21733379742429515</v>
      </c>
      <c r="I12" s="515">
        <f>IF(ISNUMBER(((NºAsuntos!I12/NºAsuntos!G12)-Datos!BE12)/Datos!BE12),((NºAsuntos!I12/NºAsuntos!G12)-Datos!BE12)/Datos!BE12," - ")</f>
        <v>-0.28652790721756238</v>
      </c>
      <c r="J12" s="521">
        <f>IF(ISNUMBER((('Resol  Asuntos'!D12/NºAsuntos!G12)-Datos!BF12)/Datos!BF12),(('Resol  Asuntos'!D12/NºAsuntos!G12)-Datos!BF12)/Datos!BF12," - ")</f>
        <v>-0.55616251280300444</v>
      </c>
      <c r="K12" s="522">
        <f>IF(ISNUMBER((((NºAsuntos!C12+NºAsuntos!E12)/NºAsuntos!G12)-Datos!BG12)/Datos!BG12),(((NºAsuntos!C12+NºAsuntos!E12)/NºAsuntos!G12)-Datos!BG12)/Datos!BG12," - ")</f>
        <v>-0.22904545669552057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6.41025641025641E-3</v>
      </c>
      <c r="C14" s="1152">
        <f>IF(ISNUMBER(
   IF(J_V="SI",(Datos!J14-Datos!T14)/Datos!T14,(Datos!J14+Datos!Z14-(Datos!T14+Datos!AH14))/(Datos!T14+Datos!AH14))
     ),IF(J_V="SI",(Datos!J14-Datos!T14)/Datos!T14,(Datos!J14+Datos!Z14-(Datos!T14+Datos!AH14))/(Datos!T14+Datos!AH14))," - ")</f>
        <v>9.9009900990099015E-2</v>
      </c>
      <c r="D14" s="1152">
        <f>IF(ISNUMBER(
   IF(J_V="SI",(Datos!K14-Datos!U14)/Datos!U14,(Datos!K14+Datos!AA14-(Datos!U14+Datos!AI14))/(Datos!U14+Datos!AI14))
     ),IF(J_V="SI",(Datos!K14-Datos!U14)/Datos!U14,(Datos!K14+Datos!AA14-(Datos!U14+Datos!AI14))/(Datos!U14+Datos!AI14))," - ")</f>
        <v>0.32487309644670048</v>
      </c>
      <c r="E14" s="1152">
        <f>IF(ISNUMBER(
   IF(J_V="SI",(Datos!L14-Datos!V14)/Datos!V14,(Datos!L14+Datos!AB14-(Datos!V14+Datos!AJ14))/(Datos!V14+Datos!AJ14))
     ),IF(J_V="SI",(Datos!L14-Datos!V14)/Datos!V14,(Datos!L14+Datos!AB14-(Datos!V14+Datos!AJ14))/(Datos!V14+Datos!AJ14))," - ")</f>
        <v>-4.9681528662420385E-2</v>
      </c>
      <c r="F14" s="1153">
        <f>IF(ISNUMBER((Datos!M14-Datos!W14)/Datos!W14),(Datos!M14-Datos!W14)/Datos!W14," - ")</f>
        <v>0.42857142857142855</v>
      </c>
      <c r="G14" s="1154">
        <f>IF(ISNUMBER((Datos!N14-Datos!X14)/Datos!X14),(Datos!N14-Datos!X14)/Datos!X14," - ")</f>
        <v>0.12745098039215685</v>
      </c>
      <c r="H14" s="1154">
        <f>IF(ISNUMBER(((NºAsuntos!G14/NºAsuntos!E14)-Datos!BD14)/Datos!BD14),((NºAsuntos!G14/NºAsuntos!E14)-Datos!BD14)/Datos!BD14," - ")</f>
        <v>0.20551515982988064</v>
      </c>
      <c r="I14" s="1154">
        <f>IF(ISNUMBER(((NºAsuntos!I14/NºAsuntos!G14)-Datos!BE14)/Datos!BE14),((NºAsuntos!I14/NºAsuntos!G14)-Datos!BE14)/Datos!BE14," - ")</f>
        <v>-0.28270981282182683</v>
      </c>
      <c r="J14" s="1154">
        <f>IF(ISNUMBER((('Resol  Asuntos'!D14/NºAsuntos!G14)-Datos!BF14)/Datos!BF14),(('Resol  Asuntos'!D14/NºAsuntos!G14)-Datos!BF14)/Datos!BF14," - ")</f>
        <v>-0.55600631057020511</v>
      </c>
      <c r="K14" s="1154">
        <f>IF(ISNUMBER((((NºAsuntos!C14+NºAsuntos!E14)/NºAsuntos!G14)-Datos!BG14)/Datos!BG14),(((NºAsuntos!C14+NºAsuntos!E14)/NºAsuntos!G14)-Datos!BG14)/Datos!BG14," - ")</f>
        <v>-0.225995115137611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-0.305993690851735</v>
      </c>
      <c r="C17" s="515">
        <f>IF(ISNUMBER(
   IF(D_I="SI",(Datos!J17-Datos!T17)/Datos!T17,(Datos!J17+Datos!AD17-(Datos!T17+Datos!AL17))/(Datos!T17+Datos!AL17))
     ),IF(D_I="SI",(Datos!J17-Datos!T17)/Datos!T17,(Datos!J17+Datos!AD17-(Datos!T17+Datos!AL17))/(Datos!T17+Datos!AL17))," - ")</f>
        <v>-0.19795221843003413</v>
      </c>
      <c r="D17" s="515">
        <f>IF(ISNUMBER(
   IF(D_I="SI",(Datos!K17-Datos!U17)/Datos!U17,(Datos!K17+Datos!AE17-(Datos!U17+Datos!AM17))/(Datos!U17+Datos!AM17))
     ),IF(D_I="SI",(Datos!K17-Datos!U17)/Datos!U17,(Datos!K17+Datos!AE17-(Datos!U17+Datos!AM17))/(Datos!U17+Datos!AM17))," - ")</f>
        <v>-0.23876404494382023</v>
      </c>
      <c r="E17" s="515">
        <f>IF(ISNUMBER(
   IF(D_I="SI",(Datos!L17-Datos!V17)/Datos!V17,(Datos!L17+Datos!AF17-(Datos!V17+Datos!AN17))/(Datos!V17+Datos!AN17))
     ),IF(D_I="SI",(Datos!L17-Datos!V17)/Datos!V17,(Datos!L17+Datos!AF17-(Datos!V17+Datos!AN17))/(Datos!V17+Datos!AN17))," - ")</f>
        <v>-0.28321678321678323</v>
      </c>
      <c r="F17" s="515">
        <f>IF(ISNUMBER((Datos!M17-Datos!W17)/Datos!W17),(Datos!M17-Datos!W17)/Datos!W17," - ")</f>
        <v>0.2413793103448276</v>
      </c>
      <c r="G17" s="516">
        <f>IF(ISNUMBER((Datos!N17-Datos!X17)/Datos!X17),(Datos!N17-Datos!X17)/Datos!X17," - ")</f>
        <v>-0.43065693430656932</v>
      </c>
      <c r="H17" s="514">
        <f>IF(ISNUMBER(((NºAsuntos!G17/NºAsuntos!E17)-Datos!BD17)/Datos!BD17),((NºAsuntos!G17/NºAsuntos!E17)-Datos!BD17)/Datos!BD17," - ")</f>
        <v>-5.0884532632082306E-2</v>
      </c>
      <c r="I17" s="515">
        <f>IF(ISNUMBER(((NºAsuntos!I17/NºAsuntos!G17)-Datos!BE17)/Datos!BE17),((NºAsuntos!I17/NºAsuntos!G17)-Datos!BE17)/Datos!BE17," - ")</f>
        <v>-5.8395479059685701E-2</v>
      </c>
      <c r="J17" s="521">
        <f>IF(ISNUMBER((('Resol  Asuntos'!D17/NºAsuntos!G17)-Datos!BF17)/Datos!BF17),(('Resol  Asuntos'!D17/NºAsuntos!G17)-Datos!BF17)/Datos!BF17," - ")</f>
        <v>0.63074182465962592</v>
      </c>
      <c r="K17" s="522">
        <f>IF(ISNUMBER((((NºAsuntos!C17+NºAsuntos!E17)/NºAsuntos!G17)-Datos!BG17)/Datos!BG17),(((NºAsuntos!C17+NºAsuntos!E17)/NºAsuntos!G17)-Datos!BG17)/Datos!BG17," - ")</f>
        <v>-4.3456453982015579E-2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0.3392857142857143</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1.1304347826086956</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-0.33333333333333331</v>
      </c>
      <c r="G18" s="516">
        <f>IF(ISNUMBER((Datos!N18-Datos!X18)/Datos!X18),(Datos!N18-Datos!X18)/Datos!X18," - ")</f>
        <v>1.2</v>
      </c>
      <c r="H18" s="514">
        <f>IF(ISNUMBER(((NºAsuntos!G18/NºAsuntos!E18)-Datos!BD18)/Datos!BD18),((NºAsuntos!G18/NºAsuntos!E18)-Datos!BD18)/Datos!BD18," - ")</f>
        <v>0.49130434782608678</v>
      </c>
      <c r="I18" s="515">
        <f>IF(ISNUMBER(((NºAsuntos!I18/NºAsuntos!G18)-Datos!BE18)/Datos!BE18),((NºAsuntos!I18/NºAsuntos!G18)-Datos!BE18)/Datos!BE18," - ")</f>
        <v>-0.53061224489795922</v>
      </c>
      <c r="J18" s="521">
        <f>IF(ISNUMBER((('Resol  Asuntos'!D18/NºAsuntos!G18)-Datos!BF18)/Datos!BF18),(('Resol  Asuntos'!D18/NºAsuntos!G18)-Datos!BF18)/Datos!BF18," - ")</f>
        <v>-0.68707482993197289</v>
      </c>
      <c r="K18" s="522">
        <f>IF(ISNUMBER((((NºAsuntos!C18+NºAsuntos!E18)/NºAsuntos!G18)-Datos!BG18)/Datos!BG18),(((NºAsuntos!C18+NºAsuntos!E18)/NºAsuntos!G18)-Datos!BG18)/Datos!BG18," - ")</f>
        <v>-0.35992578849721713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-0.25362318840579712</v>
      </c>
      <c r="C23" s="1152">
        <f>IF(ISNUMBER(
   IF(Criterios!B14="SI",(Datos!J23-Datos!T23)/Datos!T23,(Datos!J23+Datos!AD23-(Datos!T23+Datos!AL23))/(Datos!T23+Datos!AL23))
     ),IF(Criterios!B14="SI",(Datos!J23-Datos!T23)/Datos!T23,(Datos!J23+Datos!AD23-(Datos!T23+Datos!AL23))/(Datos!T23+Datos!AL23))," - ")</f>
        <v>-0.15605095541401273</v>
      </c>
      <c r="D23" s="1152">
        <f>IF(ISNUMBER(
   IF(Criterios!B14="SI",(Datos!K23-Datos!U23)/Datos!U23,(Datos!K23+Datos!AE23-(Datos!U23+Datos!AM23))/(Datos!U23+Datos!AM23))
     ),IF(Criterios!B14="SI",(Datos!K23-Datos!U23)/Datos!U23,(Datos!K23+Datos!AE23-(Datos!U23+Datos!AM23))/(Datos!U23+Datos!AM23))," - ")</f>
        <v>-0.15567282321899736</v>
      </c>
      <c r="E23" s="1152">
        <f>IF(ISNUMBER(
   IF(Criterios!B14="SI",(Datos!L23-Datos!V23)/Datos!V23,(Datos!L23+Datos!AF23-(Datos!V23+Datos!AN23))/(Datos!V23+Datos!AN23))
     ),IF(Criterios!B14="SI",(Datos!L23-Datos!V23)/Datos!V23,(Datos!L23+Datos!AF23-(Datos!V23+Datos!AN23))/(Datos!V23+Datos!AN23))," - ")</f>
        <v>-0.25878594249201275</v>
      </c>
      <c r="F23" s="1153">
        <f>IF(ISNUMBER((Datos!M23-Datos!W23)/Datos!W23),(Datos!M23-Datos!W23)/Datos!W23," - ")</f>
        <v>0.14285714285714285</v>
      </c>
      <c r="G23" s="1154">
        <f>IF(ISNUMBER((Datos!N23-Datos!X23)/Datos!X23),(Datos!N23-Datos!X23)/Datos!X23," - ")</f>
        <v>-0.34602076124567471</v>
      </c>
      <c r="H23" s="1154">
        <f>IF(ISNUMBER(((NºAsuntos!G23/NºAsuntos!E23)-Datos!BD23)/Datos!BD23),((NºAsuntos!G23/NºAsuntos!E23)-Datos!BD23)/Datos!BD23," - ")</f>
        <v>4.4805097824454371E-4</v>
      </c>
      <c r="I23" s="1154">
        <f>IF(ISNUMBER(((NºAsuntos!I23/NºAsuntos!G23)-Datos!BE23)/Datos!BE23),((NºAsuntos!I23/NºAsuntos!G23)-Datos!BE23)/Datos!BE23," - ")</f>
        <v>-0.12212460063897765</v>
      </c>
      <c r="J23" s="1154">
        <f>IF(ISNUMBER((('Resol  Asuntos'!D23/NºAsuntos!G23)-Datos!BF23)/Datos!BF23),(('Resol  Asuntos'!D23/NºAsuntos!G23)-Datos!BF23)/Datos!BF23," - ")</f>
        <v>0.35357142857142859</v>
      </c>
      <c r="K23" s="1154">
        <f>IF(ISNUMBER((((NºAsuntos!C23+NºAsuntos!E23)/NºAsuntos!G23)-Datos!BG23)/Datos!BG23),(((NºAsuntos!C23+NºAsuntos!E23)/NºAsuntos!G23)-Datos!BG23)/Datos!BG23," - ")</f>
        <v>-7.9868027888446227E-2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-0.11564625850340136</v>
      </c>
      <c r="C31" s="1092">
        <f>IF(ISNUMBER(
   IF(J_V="SI",(Datos!J31-Datos!T31)/Datos!T31,(Datos!J31+Datos!Z31-(Datos!T31+Datos!AH31))/(Datos!T31+Datos!AH31))
     ),IF(J_V="SI",(Datos!J31-Datos!T31)/Datos!T31,(Datos!J31+Datos!Z31-(Datos!T31+Datos!AH31))/(Datos!T31+Datos!AH31))," - ")</f>
        <v>-5.6201550387596902E-2</v>
      </c>
      <c r="D31" s="1092">
        <f>IF(ISNUMBER(
   IF(J_V="SI",(Datos!K31-Datos!U31)/Datos!U31,(Datos!K31+Datos!AA31-(Datos!U31+Datos!AI31))/(Datos!U31+Datos!AI31))
     ),IF(J_V="SI",(Datos!K31-Datos!U31)/Datos!U31,(Datos!K31+Datos!AA31-(Datos!U31+Datos!AI31))/(Datos!U31+Datos!AI31))," - ")</f>
        <v>8.6805555555555559E-3</v>
      </c>
      <c r="E31" s="1092">
        <f>IF(ISNUMBER(
   IF(J_V="SI",(Datos!L31-Datos!V31)/Datos!V31,(Datos!L31+Datos!AB31-(Datos!V31+Datos!AJ31))/(Datos!V31+Datos!AJ31))
     ),IF(J_V="SI",(Datos!L31-Datos!V31)/Datos!V31,(Datos!L31+Datos!AB31-(Datos!V31+Datos!AJ31))/(Datos!V31+Datos!AJ31))," - ")</f>
        <v>-0.14245216158752658</v>
      </c>
      <c r="F31" s="1093">
        <f>IF(ISNUMBER((Datos!M31-Datos!W31)/Datos!W31),(Datos!M31-Datos!W31)/Datos!W31," - ")</f>
        <v>0.29870129870129869</v>
      </c>
      <c r="G31" s="1094">
        <f>IF(ISNUMBER((Datos!N31-Datos!X31)/Datos!X31),(Datos!N31-Datos!X31)/Datos!X31," - ")</f>
        <v>-0.22250639386189258</v>
      </c>
      <c r="H31" s="1095">
        <f>IF(ISNUMBER((Tasas!B31-Datos!BD31)/Datos!BD31),(Tasas!B31-Datos!BD31)/Datos!BD31," - ")</f>
        <v>6.8745722108145196E-2</v>
      </c>
      <c r="I31" s="1096">
        <f>IF(ISNUMBER((Tasas!C31-Datos!BE31)/Datos!BE31),(Tasas!C31-Datos!BE31)/Datos!BE31," - ")</f>
        <v>-0.14983209135011233</v>
      </c>
      <c r="J31" s="1097">
        <f>IF(ISNUMBER((Tasas!D31-Datos!BF31)/Datos!BF31),(Tasas!D31-Datos!BF31)/Datos!BF31," - ")</f>
        <v>-0.2763546364812744</v>
      </c>
      <c r="K31" s="1097">
        <f>IF(ISNUMBER((Tasas!E31-Datos!BG31)/Datos!BG31),(Tasas!E31-Datos!BG31)/Datos!BG31," - ")</f>
        <v>-0.10794494334697434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wt/Z5ygDGFJlEZU9izL0BMPTCAAU5xFsfeQ1B3+kK1qX1JyH3C3DxQkD9ThmMZVR0gKbGPbgmsKFfKb4Aqw6A==" saltValue="uqqlMqrPeP9K3/nbiAwd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PEÑARROYA-PUEBLONUEVO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1.1809954751131222</v>
      </c>
      <c r="C12" s="498">
        <f>IF(ISNUMBER(NºAsuntos!I12/NºAsuntos!G12),NºAsuntos!I12/NºAsuntos!G12," - ")</f>
        <v>2.842911877394636</v>
      </c>
      <c r="D12" s="499">
        <f>IF(ISNUMBER('Resol  Asuntos'!D12/NºAsuntos!G12),'Resol  Asuntos'!D12/NºAsuntos!G12," - ")</f>
        <v>0.22988505747126436</v>
      </c>
      <c r="E12" s="500">
        <f>IF(ISNUMBER((NºAsuntos!C12+NºAsuntos!E12)/NºAsuntos!G12),(NºAsuntos!C12+NºAsuntos!E12)/NºAsuntos!G12," - ")</f>
        <v>3.842911877394636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1.1756756756756757</v>
      </c>
      <c r="C14" s="1156">
        <f>IF(ISNUMBER(NºAsuntos!I14/NºAsuntos!G14),NºAsuntos!I14/NºAsuntos!G14," - ")</f>
        <v>2.8582375478927204</v>
      </c>
      <c r="D14" s="1157">
        <f>IF(ISNUMBER('Resol  Asuntos'!D14/NºAsuntos!G14),'Resol  Asuntos'!D14/NºAsuntos!G14," - ")</f>
        <v>0.22988505747126436</v>
      </c>
      <c r="E14" s="1158">
        <f>IF(ISNUMBER((NºAsuntos!C14+NºAsuntos!E14)/NºAsuntos!G14),(NºAsuntos!C14+NºAsuntos!E14)/NºAsuntos!G14," - ")</f>
        <v>3.8582375478927204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1.1531914893617021</v>
      </c>
      <c r="C17" s="498">
        <f>IF(ISNUMBER(NºAsuntos!I17/NºAsuntos!G17),NºAsuntos!I17/NºAsuntos!G17," - ")</f>
        <v>1.5129151291512914</v>
      </c>
      <c r="D17" s="499">
        <f>IF(ISNUMBER('Resol  Asuntos'!D17/NºAsuntos!G17),'Resol  Asuntos'!D17/NºAsuntos!G17," - ")</f>
        <v>0.13284132841328414</v>
      </c>
      <c r="E17" s="500">
        <f>IF(ISNUMBER((NºAsuntos!C17+NºAsuntos!E17)/NºAsuntos!G17),(NºAsuntos!C17+NºAsuntos!E17)/NºAsuntos!G17," - ")</f>
        <v>2.4907749077490773</v>
      </c>
      <c r="G17" s="523"/>
    </row>
    <row r="18" spans="1:7">
      <c r="A18" s="450" t="str">
        <f>Datos!A18</f>
        <v>Jdos. Violencia contra la mujer</v>
      </c>
      <c r="B18" s="497">
        <f>IF(ISNUMBER(NºAsuntos!G18/NºAsuntos!E18),NºAsuntos!G18/NºAsuntos!E18," - ")</f>
        <v>1.6333333333333333</v>
      </c>
      <c r="C18" s="498">
        <f>IF(ISNUMBER(NºAsuntos!I18/NºAsuntos!G18),NºAsuntos!I18/NºAsuntos!G18," - ")</f>
        <v>1.1020408163265305</v>
      </c>
      <c r="D18" s="499">
        <f>IF(ISNUMBER('Resol  Asuntos'!D18/NºAsuntos!G18),'Resol  Asuntos'!D18/NºAsuntos!G18," - ")</f>
        <v>8.1632653061224483E-2</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1.2075471698113207</v>
      </c>
      <c r="C23" s="1156">
        <f>IF(ISNUMBER(NºAsuntos!I23/NºAsuntos!G23),NºAsuntos!I23/NºAsuntos!G23," - ")</f>
        <v>1.45</v>
      </c>
      <c r="D23" s="1159">
        <f>IF(ISNUMBER('Resol  Asuntos'!D23/NºAsuntos!G23),'Resol  Asuntos'!D23/NºAsuntos!G23," - ")</f>
        <v>0.125</v>
      </c>
      <c r="E23" s="1158">
        <f>IF(ISNUMBER((NºAsuntos!C23+NºAsuntos!E23)/NºAsuntos!G23),(NºAsuntos!C23+NºAsuntos!E23)/NºAsuntos!G23," - ")</f>
        <v>2.4375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1.1930184804928132</v>
      </c>
      <c r="C31" s="1099">
        <f>IF(ISNUMBER(NºAsuntos!I31/NºAsuntos!G31),NºAsuntos!I31/NºAsuntos!G31," - ")</f>
        <v>2.0826161790017212</v>
      </c>
      <c r="D31" s="1100">
        <f>IF(ISNUMBER('Resol  Asuntos'!D31/NºAsuntos!G31),'Resol  Asuntos'!D31/NºAsuntos!G31," - ")</f>
        <v>0.1721170395869191</v>
      </c>
      <c r="E31" s="1101">
        <f>IF(ISNUMBER((NºAsuntos!C31+NºAsuntos!E31)/NºAsuntos!G31),(NºAsuntos!C31+NºAsuntos!E31)/NºAsuntos!G31," - ")</f>
        <v>3.0757314974182446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elizqlbnUJjLx7KSt/CpP7DeI9CIu3MDFk/PVw6/jcNHJJes43n10TV2LMRX1FRtQwXnfgr6yum5pw78/xFw==" saltValue="5cbhvSfTAe7kJIq5HW+z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PEÑARROYA-PUEBLONUEVO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v>
      </c>
      <c r="Y12" s="374">
        <f t="shared" si="0"/>
        <v>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1.1809954751131222</v>
      </c>
      <c r="AM12" s="284">
        <f>IF(ISNUMBER(((NºAsuntos!I12/NºAsuntos!G12)*11)/factor_trimestre),((NºAsuntos!I12/NºAsuntos!G12)*11)/factor_trimestre," - ")</f>
        <v>8.5287356321839081</v>
      </c>
      <c r="AN12" s="267">
        <f>IF(ISNUMBER('Resol  Asuntos'!D12/NºAsuntos!G12),'Resol  Asuntos'!D12/NºAsuntos!G12," - ")</f>
        <v>0.22988505747126436</v>
      </c>
      <c r="AO12" s="268">
        <f>IF(ISNUMBER((NºAsuntos!C12+NºAsuntos!E12)/NºAsuntos!G12),(NºAsuntos!C12+NºAsuntos!E12)/NºAsuntos!G12," - ")</f>
        <v>3.842911877394636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55</v>
      </c>
      <c r="Y14" s="1165">
        <f t="shared" si="6"/>
        <v>55</v>
      </c>
      <c r="Z14" s="1165">
        <f t="shared" si="6"/>
        <v>0</v>
      </c>
      <c r="AA14" s="1165">
        <f t="shared" si="6"/>
        <v>4</v>
      </c>
      <c r="AB14" s="1165">
        <f t="shared" si="6"/>
        <v>926</v>
      </c>
      <c r="AC14" s="1165">
        <f t="shared" si="6"/>
        <v>5</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1.1756756756756757</v>
      </c>
      <c r="AM14" s="1171">
        <f>IF(ISNUMBER(((NºAsuntos!I14/NºAsuntos!G14)*11)/factor_trimestre),((NºAsuntos!I14/NºAsuntos!G14)*11)/factor_trimestre," - ")</f>
        <v>8.5747126436781613</v>
      </c>
      <c r="AN14" s="1172">
        <f>IF(ISNUMBER('Resol  Asuntos'!D14/NºAsuntos!G14),'Resol  Asuntos'!D14/NºAsuntos!G14," - ")</f>
        <v>0.22988505747126436</v>
      </c>
      <c r="AO14" s="1173">
        <f>IF(ISNUMBER((NºAsuntos!C14+NºAsuntos!E14)/NºAsuntos!G14),(NºAsuntos!C14+NºAsuntos!E14)/NºAsuntos!G14," - ")</f>
        <v>3.8582375478927204</v>
      </c>
      <c r="AP14" s="1174" t="str">
        <f t="shared" si="2"/>
        <v xml:space="preserve"> - </v>
      </c>
      <c r="AQ14" s="1174">
        <f>IF(ISNUMBER((H14-W14+K14)/(F14)),(H14-W14+K14)/(F14)," - ")</f>
        <v>0</v>
      </c>
      <c r="AR14" s="1175">
        <f>IF(ISNUMBER((Datos!P14-Datos!Q14)/(Datos!R14-Datos!P14+Datos!Q14)),(Datos!P14-Datos!Q14)/(Datos!R14-Datos!P14+Datos!Q14)," - ")</f>
        <v>-1.3844515441959531E-2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446</v>
      </c>
      <c r="G17" s="373">
        <f>IF(ISNUMBER(IF(D_I="SI",Datos!I17,Datos!I17+Datos!AC17)),IF(D_I="SI",Datos!I17,Datos!I17+Datos!AC17)," - ")</f>
        <v>440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271</v>
      </c>
      <c r="X17" s="240">
        <f>IF(ISNUMBER(Datos!Q17),Datos!Q17," - ")</f>
        <v>1</v>
      </c>
      <c r="Y17" s="374">
        <f t="shared" ref="Y17:Y22" si="9">SUM(W17:X17)</f>
        <v>272</v>
      </c>
      <c r="Z17" s="375" t="str">
        <f>IF(ISNUMBER(Datos!CC17),Datos!CC17," - ")</f>
        <v xml:space="preserve"> - </v>
      </c>
      <c r="AA17" s="372">
        <f>IF(ISNUMBER(IF(D_I="SI",Datos!L17,Datos!L17+Datos!AF17)),IF(D_I="SI",Datos!L17,Datos!L17+Datos!AF17)," - ")</f>
        <v>410</v>
      </c>
      <c r="AB17" s="374">
        <f>IF(ISNUMBER(Datos!R17),Datos!R17," - ")</f>
        <v>31</v>
      </c>
      <c r="AC17" s="374">
        <f t="shared" si="8"/>
        <v>441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1.1531914893617021</v>
      </c>
      <c r="AM17" s="284">
        <f>IF(ISNUMBER(((NºAsuntos!I17/NºAsuntos!G17)*11)/factor_trimestre),((NºAsuntos!I17/NºAsuntos!G17)*11)/factor_trimestre," - ")</f>
        <v>4.5387453874538748</v>
      </c>
      <c r="AN17" s="267">
        <f>IF(ISNUMBER('Resol  Asuntos'!D17/NºAsuntos!G17),'Resol  Asuntos'!D17/NºAsuntos!G17," - ")</f>
        <v>0.13284132841328414</v>
      </c>
      <c r="AO17" s="268">
        <f>IF(ISNUMBER((NºAsuntos!C17+NºAsuntos!E17)/NºAsuntos!G17),(NºAsuntos!C17+NºAsuntos!E17)/NºAsuntos!G17," - ")</f>
        <v>2.4907749077490773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54</v>
      </c>
      <c r="AB18" s="374">
        <f>IF(ISNUMBER(Datos!R18),Datos!R18," - ")</f>
        <v>2</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1.6333333333333333</v>
      </c>
      <c r="AM18" s="284">
        <f>IF(ISNUMBER(((NºAsuntos!I18/NºAsuntos!G18)*11)/factor_trimestre),((NºAsuntos!I18/NºAsuntos!G18)*11)/factor_trimestre," - ")</f>
        <v>3.3061224489795915</v>
      </c>
      <c r="AN18" s="267">
        <f>IF(ISNUMBER('Resol  Asuntos'!D18/NºAsuntos!G18),'Resol  Asuntos'!D18/NºAsuntos!G18," - ")</f>
        <v>8.1632653061224483E-2</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446</v>
      </c>
      <c r="G23" s="1163">
        <f>SUBTOTAL(9,G16:G22)</f>
        <v>515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320</v>
      </c>
      <c r="X23" s="1164">
        <f t="shared" si="14"/>
        <v>1</v>
      </c>
      <c r="Y23" s="1165">
        <f t="shared" si="14"/>
        <v>321</v>
      </c>
      <c r="Z23" s="1165">
        <f t="shared" si="14"/>
        <v>0</v>
      </c>
      <c r="AA23" s="1165">
        <f t="shared" si="14"/>
        <v>464</v>
      </c>
      <c r="AB23" s="1165">
        <f t="shared" si="14"/>
        <v>33</v>
      </c>
      <c r="AC23" s="1165">
        <f t="shared" si="14"/>
        <v>497</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1.2075471698113207</v>
      </c>
      <c r="AM23" s="1171">
        <f>IF(ISNUMBER(((NºAsuntos!I23/NºAsuntos!G23)*11)/factor_trimestre),((NºAsuntos!I23/NºAsuntos!G23)*11)/factor_trimestre," - ")</f>
        <v>4.3499999999999996</v>
      </c>
      <c r="AN23" s="1172">
        <f>IF(ISNUMBER('Resol  Asuntos'!D23/NºAsuntos!G23),'Resol  Asuntos'!D23/NºAsuntos!G23," - ")</f>
        <v>0.125</v>
      </c>
      <c r="AO23" s="1173">
        <f>IF(ISNUMBER((NºAsuntos!C23+NºAsuntos!E23)/NºAsuntos!G23),(NºAsuntos!C23+NºAsuntos!E23)/NºAsuntos!G23," - ")</f>
        <v>2.4375</v>
      </c>
      <c r="AP23" s="1174" t="str">
        <f t="shared" si="2"/>
        <v xml:space="preserve"> - </v>
      </c>
      <c r="AQ23" s="1174">
        <f>IF(ISNUMBER((H23-W23+K23)/(F23)),(H23-W23+K23)/(F23)," - ")</f>
        <v>-0.71748878923766812</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449</v>
      </c>
      <c r="G31" s="1118">
        <f t="shared" si="20"/>
        <v>518</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320</v>
      </c>
      <c r="X31" s="1118">
        <f t="shared" si="21"/>
        <v>56</v>
      </c>
      <c r="Y31" s="1125">
        <f t="shared" si="21"/>
        <v>376</v>
      </c>
      <c r="Z31" s="1125">
        <f t="shared" si="21"/>
        <v>0</v>
      </c>
      <c r="AA31" s="1125">
        <f t="shared" si="21"/>
        <v>468</v>
      </c>
      <c r="AB31" s="1125">
        <f t="shared" si="21"/>
        <v>959</v>
      </c>
      <c r="AC31" s="1125">
        <f t="shared" si="21"/>
        <v>502</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1.1930184804928132</v>
      </c>
      <c r="AM31" s="1184">
        <f>IF(ISNUMBER(((NºAsuntos!I31/NºAsuntos!G31)*11)/factor_trimestre),((NºAsuntos!I31/NºAsuntos!G31)*11)/factor_trimestre," - ")</f>
        <v>6.2478485370051642</v>
      </c>
      <c r="AN31" s="1184">
        <f>IF(ISNUMBER('Resol  Asuntos'!D31/NºAsuntos!G31),'Resol  Asuntos'!D31/NºAsuntos!G31," - ")</f>
        <v>0.1721170395869191</v>
      </c>
      <c r="AO31" s="1185">
        <f>IF(ISNUMBER((NºAsuntos!C31+NºAsuntos!E31)/NºAsuntos!G31),(NºAsuntos!C31+NºAsuntos!E31)/NºAsuntos!G31," - ")</f>
        <v>3.0757314974182446</v>
      </c>
      <c r="AP31" s="1186" t="str">
        <f t="shared" si="2"/>
        <v xml:space="preserve"> - </v>
      </c>
      <c r="AQ31" s="1187">
        <f>IF(OR(ISNUMBER(FIND("01",Criterios!A8,1)),ISNUMBER(FIND("02",Criterios!A8,1)),ISNUMBER(FIND("03",Criterios!A8,1)),ISNUMBER(FIND("04",Criterios!A8,1))),(I31-W31+K31)/(F31-K31),(H31-W31+K31)/(F31-K31))</f>
        <v>-0.71269487750556793</v>
      </c>
      <c r="AR31" s="1188">
        <f>IF(ISNUMBER((Datos!P31-Datos!Q31)/(Datos!R31-Datos!P31+Datos!Q31)),(Datos!P31-Datos!Q31)/(Datos!R31-Datos!P31+Datos!Q31)," - ")</f>
        <v>-7.246376811594203E-3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229.54273385726387</v>
      </c>
      <c r="G33" s="277">
        <f>IF(ISNUMBER(STDEV(G8:G30)),STDEV(G8:G30),"-")</f>
        <v>227.72058902669883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141.26081922323348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27.023799035030482</v>
      </c>
      <c r="AJ33" s="276">
        <f t="shared" si="25"/>
        <v>0</v>
      </c>
      <c r="AK33" s="278">
        <f t="shared" si="25"/>
        <v>0</v>
      </c>
      <c r="AL33" s="273">
        <f t="shared" si="25"/>
        <v>0.54968580434549352</v>
      </c>
      <c r="AM33" s="274">
        <f t="shared" si="25"/>
        <v>2.5019951209943887</v>
      </c>
      <c r="AN33" s="274">
        <f t="shared" si="25"/>
        <v>6.6842656189846333E-2</v>
      </c>
      <c r="AO33" s="275">
        <f t="shared" si="25"/>
        <v>0.82872059503649853</v>
      </c>
      <c r="AP33" s="317" t="str">
        <f t="shared" si="25"/>
        <v>-</v>
      </c>
      <c r="AQ33" s="318">
        <f t="shared" si="25"/>
        <v>0.50734118829528074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FsBZKjadoY7pwkjAkuaNRkr5eucgPEqAep6+LHvAZxcM5dZVj9beAUgofkzTtjzIGyXB7EoXrhOxjhc4qx4WQ==" saltValue="ACQAPjxuBKDlcR3xgNJq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PEÑARROYA-PUEBLONUEVO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-1</v>
      </c>
      <c r="G10" s="394">
        <f>IF(ISNUMBER((Datos!L10-Datos!V10)/Datos!V10),(Datos!L10-Datos!V10)/Datos!V10," - ")</f>
        <v>-0.5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0.46341463414634149</v>
      </c>
      <c r="I12" s="395">
        <f>IF(ISNUMBER((Tasas!C12-Datos!BE12)/Datos!BE12),(Tasas!C12-Datos!BE12)/Datos!BE12," - ")</f>
        <v>-0.28652790721756238</v>
      </c>
      <c r="J12" s="394">
        <f>IF(ISNUMBER((Tasas!D12-Datos!BF12)/Datos!BF12),(Tasas!D12-Datos!BF12)/Datos!BF12," - ")</f>
        <v>-0.55616251280300444</v>
      </c>
      <c r="K12" s="396">
        <f>IF(ISNUMBER((Tasas!E12-Datos!BG12)/Datos!BG12),(Tasas!E12-Datos!BG12)/Datos!BG12," - ")</f>
        <v>-0.22904545669552057</v>
      </c>
      <c r="M12" t="e">
        <f>IF(Monitorios="SI",Datos!CE12,0)</f>
        <v>#REF!</v>
      </c>
      <c r="N12" t="e">
        <f>IF(Monitorios="SI",Datos!CF12,0)</f>
        <v>#REF!</v>
      </c>
      <c r="O12" t="e">
        <f>IF(Monitorios="SI",Datos!CG12,0)</f>
        <v>#REF!</v>
      </c>
      <c r="P12" t="e">
        <f>IF(Monitorios="SI",Datos!CH12,0)</f>
        <v>#REF!</v>
      </c>
      <c r="Q12">
        <f>IF(J_V="SI",0,Datos!AG12)</f>
        <v>126</v>
      </c>
      <c r="R12">
        <f>IF(J_V="SI",0,Datos!AH12)</f>
        <v>29</v>
      </c>
      <c r="S12">
        <f>IF(J_V="SI",0,Datos!AI12)</f>
        <v>34</v>
      </c>
      <c r="T12">
        <f>IF(J_V="SI",0,Datos!AJ12)</f>
        <v>121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-0.28270981282182683</v>
      </c>
      <c r="J14" s="400">
        <f>IF(ISNUMBER((Tasas!D14-Datos!BF14)/Datos!BF14),(Tasas!D14-Datos!BF14)/Datos!BF14," - ")</f>
        <v>-0.55600631057020511</v>
      </c>
      <c r="K14" s="403">
        <f>IF(ISNUMBER((Tasas!E14-Datos!BG14)/Datos!BG14),(Tasas!E14-Datos!BG14)/Datos!BG14," - ")</f>
        <v>-0.225995115137611</v>
      </c>
      <c r="M14" t="e">
        <f>IF(Monitorios="SI",Datos!CE14,0)</f>
        <v>#REF!</v>
      </c>
      <c r="N14" t="e">
        <f>IF(Monitorios="SI",Datos!CF14,0)</f>
        <v>#REF!</v>
      </c>
      <c r="O14" t="e">
        <f>IF(Monitorios="SI",Datos!CG14,0)</f>
        <v>#REF!</v>
      </c>
      <c r="P14" t="e">
        <f>IF(Monitorios="SI",Datos!CH14,0)</f>
        <v>#REF!</v>
      </c>
      <c r="Q14">
        <f>IF(J_V="SI",0,Datos!AG14)</f>
        <v>126</v>
      </c>
      <c r="R14">
        <f>IF(J_V="SI",0,Datos!AH14)</f>
        <v>29</v>
      </c>
      <c r="S14">
        <f>IF(J_V="SI",0,Datos!AI14)</f>
        <v>34</v>
      </c>
      <c r="T14">
        <f>IF(J_V="SI",0,Datos!AJ14)</f>
        <v>121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-0.305993690851735</v>
      </c>
      <c r="E17" s="393">
        <f>IF(ISNUMBER(
   IF(D_I="SI",(Datos!J17-Datos!T17)/Datos!T17,(Datos!J17+Datos!AD17-(Datos!T17+Datos!AL17))/(Datos!T17+Datos!AL17))
     ),IF(D_I="SI",(Datos!J17-Datos!T17)/Datos!T17,(Datos!J17+Datos!AD17-(Datos!T17+Datos!AL17))/(Datos!T17+Datos!AL17))," - ")</f>
        <v>-0.19795221843003413</v>
      </c>
      <c r="F17" s="393">
        <f>IF(ISNUMBER(
   IF(D_I="SI",(Datos!K17-Datos!U17)/Datos!U17,(Datos!K17+Datos!AE17-(Datos!U17+Datos!AM17))/(Datos!U17+Datos!AM17))
     ),IF(D_I="SI",(Datos!K17-Datos!U17)/Datos!U17,(Datos!K17+Datos!AE17-(Datos!U17+Datos!AM17))/(Datos!U17+Datos!AM17))," - ")</f>
        <v>-0.23876404494382023</v>
      </c>
      <c r="G17" s="394">
        <f>IF(ISNUMBER(
   IF(D_I="SI",(Datos!L17-Datos!V17)/Datos!V17,(Datos!L17+Datos!AF17-(Datos!V17+Datos!AN17))/(Datos!V17+Datos!AN17))
     ),IF(D_I="SI",(Datos!L17-Datos!V17)/Datos!V17,(Datos!L17+Datos!AF17-(Datos!V17+Datos!AN17))/(Datos!V17+Datos!AN17))," - ")</f>
        <v>-0.28321678321678323</v>
      </c>
      <c r="H17" s="244">
        <f>IF(ISNUMBER((Datos!M17-Datos!W17)/Datos!W17),(Datos!M17-Datos!W17)/Datos!W17," - ")</f>
        <v>0.2413793103448276</v>
      </c>
      <c r="I17" s="395">
        <f>IF(ISNUMBER((Tasas!C17-Datos!BE17)/Datos!BE17),(Tasas!C17-Datos!BE17)/Datos!BE17," - ")</f>
        <v>-5.8395479059685701E-2</v>
      </c>
      <c r="J17" s="394">
        <f>IF(ISNUMBER((Tasas!D17-Datos!BF17)/Datos!BF17),(Tasas!D17-Datos!BF17)/Datos!BF17," - ")</f>
        <v>0.63074182465962592</v>
      </c>
      <c r="K17" s="396">
        <f>IF(ISNUMBER((Tasas!E17-Datos!BG17)/Datos!BG17),(Tasas!E17-Datos!BG17)/Datos!BG17," - ")</f>
        <v>-4.3456453982015579E-2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0.3392857142857143</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1.1304347826086956</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-0.33333333333333331</v>
      </c>
      <c r="I18" s="395">
        <f>IF(ISNUMBER((Tasas!C18-Datos!BE18)/Datos!BE18),(Tasas!C18-Datos!BE18)/Datos!BE18," - ")</f>
        <v>-0.53061224489795922</v>
      </c>
      <c r="J18" s="394">
        <f>IF(ISNUMBER((Tasas!D18-Datos!BF18)/Datos!BF18),(Tasas!D18-Datos!BF18)/Datos!BF18," - ")</f>
        <v>-0.68707482993197289</v>
      </c>
      <c r="K18" s="396">
        <f>IF(ISNUMBER((Tasas!E18-Datos!BG18)/Datos!BG18),(Tasas!E18-Datos!BG18)/Datos!BG18," - ")</f>
        <v>-0.35992578849721713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-0.25362318840579712</v>
      </c>
      <c r="E23" s="399">
        <f>IF(ISNUMBER(
   IF(D_I="SI",(Datos!J23-Datos!T23)/Datos!T23,(Datos!J23+Datos!AD23-(Datos!T23+Datos!AL23))/(Datos!T23+Datos!AL23))
     ),IF(D_I="SI",(Datos!J23-Datos!T23)/Datos!T23,(Datos!J23+Datos!AD23-(Datos!T23+Datos!AL23))/(Datos!T23+Datos!AL23))," - ")</f>
        <v>-0.15605095541401273</v>
      </c>
      <c r="F23" s="399">
        <f>IF(ISNUMBER(
   IF(D_I="SI",(Datos!K23-Datos!U23)/Datos!U23,(Datos!K23+Datos!AE23-(Datos!U23+Datos!AM23))/(Datos!U23+Datos!AM23))
     ),IF(D_I="SI",(Datos!K23-Datos!U23)/Datos!U23,(Datos!K23+Datos!AE23-(Datos!U23+Datos!AM23))/(Datos!U23+Datos!AM23))," - ")</f>
        <v>-0.15567282321899736</v>
      </c>
      <c r="G23" s="400">
        <f>IF(ISNUMBER(
   IF(D_I="SI",(Datos!L23-Datos!V23)/Datos!V23,(Datos!L23+Datos!AF23-(Datos!V23+Datos!AN23))/(Datos!V23+Datos!AN23))
     ),IF(D_I="SI",(Datos!L23-Datos!V23)/Datos!V23,(Datos!L23+Datos!AF23-(Datos!V23+Datos!AN23))/(Datos!V23+Datos!AN23))," - ")</f>
        <v>-0.25878594249201275</v>
      </c>
      <c r="H23" s="401">
        <f>IF(ISNUMBER((Datos!M23-Datos!W23)/Datos!W23),(Datos!M23-Datos!W23)/Datos!W23," - ")</f>
        <v>0.14285714285714285</v>
      </c>
      <c r="I23" s="402">
        <f>IF(ISNUMBER((Tasas!C23-Datos!BE23)/Datos!BE23),(Tasas!C23-Datos!BE23)/Datos!BE23," - ")</f>
        <v>-0.12212460063897765</v>
      </c>
      <c r="J23" s="400">
        <f>IF(ISNUMBER((Tasas!D23-Datos!BF23)/Datos!BF23),(Tasas!D23-Datos!BF23)/Datos!BF23," - ")</f>
        <v>0.35357142857142859</v>
      </c>
      <c r="K23" s="403">
        <f>IF(ISNUMBER((Tasas!E23-Datos!BG23)/Datos!BG23),(Tasas!E23-Datos!BG23)/Datos!BG23," - ")</f>
        <v>-7.9868027888446227E-2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-0.11564625850340136</v>
      </c>
      <c r="E31" s="409">
        <f>IF(ISNUMBER(
   IF(J_V="SI",(Datos!J31-Datos!T31)/Datos!T31,(Datos!J31+Datos!Z31-(Datos!T31+Datos!AH31))/(Datos!T31+Datos!AH31))
     ),IF(J_V="SI",(Datos!J31-Datos!T31)/Datos!T31,(Datos!J31+Datos!Z31-(Datos!T31+Datos!AH31))/(Datos!T31+Datos!AH31))," - ")</f>
        <v>-5.6201550387596902E-2</v>
      </c>
      <c r="F31" s="409">
        <f>IF(ISNUMBER(
   IF(J_V="SI",(Datos!K31-Datos!U31)/Datos!U31,(Datos!K31+Datos!AA31-(Datos!U31+Datos!AI31))/(Datos!U31+Datos!AI31))
     ),IF(J_V="SI",(Datos!K31-Datos!U31)/Datos!U31,(Datos!K31+Datos!AA31-(Datos!U31+Datos!AI31))/(Datos!U31+Datos!AI31))," - ")</f>
        <v>8.6805555555555559E-3</v>
      </c>
      <c r="G31" s="410">
        <f>IF(ISNUMBER(
   IF(J_V="SI",(Datos!L31-Datos!V31)/Datos!V31,(Datos!L31+Datos!AB31-(Datos!V31+Datos!AJ31))/(Datos!V31+Datos!AJ31))
     ),IF(J_V="SI",(Datos!L31-Datos!V31)/Datos!V31,(Datos!L31+Datos!AB31-(Datos!V31+Datos!AJ31))/(Datos!V31+Datos!AJ31))," - ")</f>
        <v>-0.14245216158752658</v>
      </c>
      <c r="H31" s="411">
        <f>IF(ISNUMBER((Datos!M31-Datos!W31)/Datos!W31),(Datos!M31-Datos!W31)/Datos!W31," - ")</f>
        <v>0.29870129870129869</v>
      </c>
      <c r="I31" s="408">
        <f>IF(ISNUMBER((Tasas!C31-Datos!BE31)/Datos!BE31),(Tasas!C31-Datos!BE31)/Datos!BE31," - ")</f>
        <v>-0.14983209135011233</v>
      </c>
      <c r="J31" s="409">
        <f>IF(ISNUMBER((Tasas!D31-Datos!BF31)/Datos!BF31),(Tasas!D31-Datos!BF31)/Datos!BF31," - ")</f>
        <v>-0.2763546364812744</v>
      </c>
      <c r="K31" s="410">
        <f>IF(ISNUMBER((Tasas!E31-Datos!BG31)/Datos!BG31),(Tasas!E31-Datos!BG31)/Datos!BG31," - ")</f>
        <v>-0.10794494334697434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0.41666325834665657</v>
      </c>
      <c r="E33" s="303">
        <f t="shared" si="1"/>
        <v>0.28625183824823514</v>
      </c>
      <c r="F33" s="303">
        <f t="shared" si="1"/>
        <v>0.88349699480421651</v>
      </c>
      <c r="G33" s="304">
        <f t="shared" si="1"/>
        <v>0.20472704611343825</v>
      </c>
      <c r="H33" s="310">
        <f t="shared" si="1"/>
        <v>0.5635008839017196</v>
      </c>
      <c r="I33" s="302">
        <f t="shared" si="1"/>
        <v>0.18304875998724746</v>
      </c>
      <c r="J33" s="303">
        <f t="shared" si="1"/>
        <v>0.60839076115833901</v>
      </c>
      <c r="K33" s="304">
        <f t="shared" si="1"/>
        <v>0.12774154657370143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9IE9/dygH86q/AGPoGdcZfQh8Cp9Qi2of3Ebkn//sEWzpWCXDPwKEwse2XuFSK+u5Iw3SoYJ8FDHYPoGMGR6w==" saltValue="B6++A5yMgW6bvJ2WG9jI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